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345" windowWidth="14805" windowHeight="7770"/>
  </bookViews>
  <sheets>
    <sheet name="Прил 1 на 2023(9мес)" sheetId="3" r:id="rId1"/>
  </sheets>
  <definedNames>
    <definedName name="_xlnm._FilterDatabase" localSheetId="0" hidden="1">'Прил 1 на 2023(9мес)'!$A$8:$F$317</definedName>
    <definedName name="_xlnm.Print_Titles" localSheetId="0">'Прил 1 на 2023(9мес)'!$5:$7</definedName>
    <definedName name="_xlnm.Print_Area" localSheetId="0">'Прил 1 на 2023(9мес)'!$A$1:$BM$327</definedName>
  </definedNames>
  <calcPr calcId="144525"/>
</workbook>
</file>

<file path=xl/calcChain.xml><?xml version="1.0" encoding="utf-8"?>
<calcChain xmlns="http://schemas.openxmlformats.org/spreadsheetml/2006/main">
  <c r="F319" i="3" l="1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2" i="3"/>
  <c r="F201" i="3"/>
  <c r="F200" i="3"/>
  <c r="F199" i="3"/>
  <c r="F198" i="3"/>
  <c r="F193" i="3"/>
  <c r="F192" i="3"/>
  <c r="F191" i="3"/>
  <c r="F187" i="3"/>
  <c r="F186" i="3"/>
  <c r="F181" i="3"/>
  <c r="F180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1" i="3"/>
  <c r="F160" i="3"/>
  <c r="F159" i="3"/>
  <c r="F158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29" i="3"/>
  <c r="F128" i="3"/>
  <c r="F127" i="3"/>
  <c r="F126" i="3"/>
  <c r="F125" i="3"/>
  <c r="F124" i="3"/>
  <c r="F123" i="3"/>
  <c r="F122" i="3"/>
  <c r="F120" i="3"/>
  <c r="F119" i="3"/>
  <c r="F118" i="3"/>
  <c r="F116" i="3"/>
  <c r="F115" i="3"/>
  <c r="F114" i="3"/>
  <c r="F113" i="3"/>
  <c r="F112" i="3"/>
  <c r="F111" i="3"/>
  <c r="F110" i="3"/>
  <c r="F109" i="3"/>
  <c r="F108" i="3"/>
  <c r="F107" i="3"/>
  <c r="F106" i="3"/>
  <c r="F104" i="3"/>
  <c r="F103" i="3"/>
  <c r="F102" i="3"/>
  <c r="F101" i="3"/>
  <c r="F100" i="3"/>
  <c r="F99" i="3"/>
  <c r="F97" i="3"/>
  <c r="F96" i="3"/>
  <c r="F94" i="3"/>
  <c r="F93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0" i="3"/>
  <c r="F69" i="3"/>
  <c r="F68" i="3"/>
  <c r="F67" i="3"/>
  <c r="F66" i="3"/>
  <c r="F65" i="3"/>
  <c r="F64" i="3"/>
  <c r="F63" i="3"/>
  <c r="F62" i="3"/>
  <c r="F61" i="3"/>
  <c r="F60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4" i="3"/>
  <c r="F33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E204" i="3" l="1"/>
  <c r="D204" i="3"/>
  <c r="E192" i="3"/>
  <c r="E189" i="3"/>
  <c r="D189" i="3"/>
  <c r="E185" i="3"/>
  <c r="D185" i="3"/>
  <c r="E130" i="3" l="1"/>
  <c r="D130" i="3"/>
  <c r="E103" i="3"/>
  <c r="E100" i="3" s="1"/>
  <c r="D103" i="3"/>
  <c r="E89" i="3"/>
  <c r="E76" i="3" l="1"/>
  <c r="E75" i="3" s="1"/>
  <c r="D76" i="3"/>
  <c r="D75" i="3" s="1"/>
  <c r="E73" i="3"/>
  <c r="E72" i="3" s="1"/>
  <c r="D73" i="3"/>
  <c r="D72" i="3" l="1"/>
  <c r="D71" i="3" s="1"/>
  <c r="E212" i="3"/>
  <c r="D282" i="3"/>
  <c r="D280" i="3"/>
  <c r="E178" i="3"/>
  <c r="E154" i="3"/>
  <c r="E150" i="3"/>
  <c r="D150" i="3"/>
  <c r="E142" i="3"/>
  <c r="E116" i="3"/>
  <c r="E139" i="3"/>
  <c r="D107" i="3"/>
  <c r="E107" i="3"/>
  <c r="D296" i="3"/>
  <c r="D295" i="3"/>
  <c r="D290" i="3"/>
  <c r="D292" i="3"/>
  <c r="D289" i="3"/>
  <c r="D286" i="3"/>
  <c r="D287" i="3"/>
  <c r="D285" i="3"/>
  <c r="D284" i="3"/>
  <c r="D283" i="3"/>
  <c r="E259" i="3" l="1"/>
  <c r="E314" i="3" l="1"/>
  <c r="E302" i="3"/>
  <c r="D302" i="3"/>
  <c r="E240" i="3"/>
  <c r="D240" i="3"/>
  <c r="E238" i="3"/>
  <c r="E191" i="3" l="1"/>
  <c r="E184" i="3" s="1"/>
  <c r="D192" i="3"/>
  <c r="D191" i="3" s="1"/>
  <c r="D184" i="3" s="1"/>
  <c r="E162" i="3"/>
  <c r="D162" i="3"/>
  <c r="D123" i="3"/>
  <c r="E84" i="3"/>
  <c r="E54" i="3"/>
  <c r="E26" i="3"/>
  <c r="E24" i="3"/>
  <c r="E22" i="3"/>
  <c r="E71" i="3" l="1"/>
  <c r="E313" i="3"/>
  <c r="D312" i="3"/>
  <c r="D310" i="3"/>
  <c r="D247" i="3" l="1"/>
  <c r="E166" i="3"/>
  <c r="E172" i="3"/>
  <c r="E148" i="3"/>
  <c r="D124" i="3"/>
  <c r="D116" i="3" s="1"/>
  <c r="E69" i="3"/>
  <c r="E66" i="3"/>
  <c r="E63" i="3"/>
  <c r="E33" i="3"/>
  <c r="D31" i="3"/>
  <c r="E30" i="3"/>
  <c r="E38" i="3"/>
  <c r="D25" i="3"/>
  <c r="D30" i="3" l="1"/>
  <c r="E242" i="3"/>
  <c r="D242" i="3"/>
  <c r="D238" i="3"/>
  <c r="D203" i="3"/>
  <c r="E152" i="3"/>
  <c r="D152" i="3"/>
  <c r="E156" i="3"/>
  <c r="D156" i="3"/>
  <c r="E175" i="3"/>
  <c r="D175" i="3"/>
  <c r="E96" i="3"/>
  <c r="E93" i="3"/>
  <c r="D90" i="3"/>
  <c r="D89" i="3" s="1"/>
  <c r="D10" i="3"/>
  <c r="D9" i="3" s="1"/>
  <c r="D58" i="3"/>
  <c r="D57" i="3" s="1"/>
  <c r="D56" i="3" s="1"/>
  <c r="E58" i="3"/>
  <c r="E57" i="3" s="1"/>
  <c r="D36" i="3"/>
  <c r="E36" i="3"/>
  <c r="E88" i="3" l="1"/>
  <c r="E87" i="3" s="1"/>
  <c r="E203" i="3"/>
  <c r="E56" i="3"/>
  <c r="E309" i="3"/>
  <c r="D311" i="3"/>
  <c r="D316" i="3"/>
  <c r="D315" i="3"/>
  <c r="D314" i="3" l="1"/>
  <c r="E308" i="3"/>
  <c r="D309" i="3"/>
  <c r="D308" i="3" s="1"/>
  <c r="D307" i="3" s="1"/>
  <c r="D306" i="3" s="1"/>
  <c r="E298" i="3"/>
  <c r="D298" i="3"/>
  <c r="D300" i="3"/>
  <c r="E300" i="3"/>
  <c r="E297" i="3" l="1"/>
  <c r="D297" i="3"/>
  <c r="D313" i="3"/>
  <c r="E307" i="3"/>
  <c r="E248" i="3"/>
  <c r="D248" i="3"/>
  <c r="E254" i="3"/>
  <c r="D254" i="3"/>
  <c r="E252" i="3"/>
  <c r="D252" i="3"/>
  <c r="D251" i="3"/>
  <c r="E306" i="3" l="1"/>
  <c r="E235" i="3"/>
  <c r="D235" i="3"/>
  <c r="E10" i="3" l="1"/>
  <c r="D215" i="3" l="1"/>
  <c r="D212" i="3" l="1"/>
  <c r="D211" i="3" s="1"/>
  <c r="E211" i="3"/>
  <c r="E256" i="3" l="1"/>
  <c r="D256" i="3"/>
  <c r="D264" i="3" l="1"/>
  <c r="D263" i="3"/>
  <c r="D262" i="3"/>
  <c r="D245" i="3"/>
  <c r="D173" i="3" l="1"/>
  <c r="D200" i="3"/>
  <c r="D86" i="3"/>
  <c r="D181" i="3"/>
  <c r="D180" i="3"/>
  <c r="D113" i="3"/>
  <c r="D97" i="3"/>
  <c r="D94" i="3"/>
  <c r="D70" i="3"/>
  <c r="D67" i="3"/>
  <c r="D55" i="3"/>
  <c r="D178" i="3" l="1"/>
  <c r="D84" i="3"/>
  <c r="D83" i="3" s="1"/>
  <c r="D66" i="3"/>
  <c r="D93" i="3"/>
  <c r="D96" i="3"/>
  <c r="D34" i="3"/>
  <c r="D88" i="3" l="1"/>
  <c r="D33" i="3"/>
  <c r="D27" i="3"/>
  <c r="D23" i="3"/>
  <c r="D21" i="3"/>
  <c r="D29" i="3" l="1"/>
  <c r="D174" i="3"/>
  <c r="D115" i="3"/>
  <c r="E233" i="3" l="1"/>
  <c r="D233" i="3"/>
  <c r="D232" i="3" s="1"/>
  <c r="D160" i="3"/>
  <c r="E160" i="3"/>
  <c r="D100" i="3"/>
  <c r="E174" i="3" l="1"/>
  <c r="E232" i="3"/>
  <c r="D38" i="3"/>
  <c r="D279" i="3" l="1"/>
  <c r="D273" i="3"/>
  <c r="D259" i="3" l="1"/>
  <c r="D278" i="3"/>
  <c r="E145" i="3"/>
  <c r="D145" i="3"/>
  <c r="D142" i="3"/>
  <c r="D139" i="3"/>
  <c r="E294" i="3" l="1"/>
  <c r="E293" i="3" s="1"/>
  <c r="D294" i="3"/>
  <c r="E291" i="3"/>
  <c r="D291" i="3"/>
  <c r="E279" i="3"/>
  <c r="E258" i="3"/>
  <c r="D258" i="3"/>
  <c r="E250" i="3"/>
  <c r="D250" i="3"/>
  <c r="D246" i="3"/>
  <c r="E246" i="3"/>
  <c r="E244" i="3"/>
  <c r="D244" i="3"/>
  <c r="E209" i="3"/>
  <c r="D209" i="3"/>
  <c r="D208" i="3" s="1"/>
  <c r="D202" i="3" s="1"/>
  <c r="E199" i="3"/>
  <c r="D199" i="3"/>
  <c r="D198" i="3" s="1"/>
  <c r="D172" i="3"/>
  <c r="E169" i="3"/>
  <c r="D169" i="3"/>
  <c r="D166" i="3"/>
  <c r="E164" i="3"/>
  <c r="D164" i="3"/>
  <c r="E158" i="3"/>
  <c r="D158" i="3"/>
  <c r="D148" i="3"/>
  <c r="E135" i="3"/>
  <c r="D135" i="3"/>
  <c r="E133" i="3"/>
  <c r="D133" i="3"/>
  <c r="E128" i="3"/>
  <c r="D128" i="3"/>
  <c r="D127" i="3" s="1"/>
  <c r="E115" i="3"/>
  <c r="D114" i="3"/>
  <c r="E112" i="3"/>
  <c r="D112" i="3"/>
  <c r="D111" i="3" s="1"/>
  <c r="D110" i="3" s="1"/>
  <c r="D106" i="3"/>
  <c r="D99" i="3" s="1"/>
  <c r="E106" i="3"/>
  <c r="D82" i="3"/>
  <c r="E79" i="3"/>
  <c r="D79" i="3"/>
  <c r="D78" i="3" s="1"/>
  <c r="D69" i="3"/>
  <c r="D68" i="3" s="1"/>
  <c r="D63" i="3"/>
  <c r="D62" i="3" s="1"/>
  <c r="D54" i="3"/>
  <c r="E51" i="3"/>
  <c r="D51" i="3"/>
  <c r="E48" i="3"/>
  <c r="D48" i="3"/>
  <c r="E46" i="3"/>
  <c r="D46" i="3"/>
  <c r="E43" i="3"/>
  <c r="D43" i="3"/>
  <c r="E40" i="3"/>
  <c r="D40" i="3"/>
  <c r="D28" i="3" s="1"/>
  <c r="D26" i="3"/>
  <c r="D24" i="3"/>
  <c r="D22" i="3"/>
  <c r="D20" i="3"/>
  <c r="E20" i="3"/>
  <c r="E9" i="3"/>
  <c r="E138" i="3" l="1"/>
  <c r="D138" i="3"/>
  <c r="D137" i="3" s="1"/>
  <c r="E237" i="3"/>
  <c r="D293" i="3"/>
  <c r="D237" i="3"/>
  <c r="D53" i="3"/>
  <c r="D50" i="3" s="1"/>
  <c r="E19" i="3"/>
  <c r="E18" i="3" s="1"/>
  <c r="D65" i="3"/>
  <c r="D61" i="3" s="1"/>
  <c r="E278" i="3"/>
  <c r="E29" i="3"/>
  <c r="E111" i="3"/>
  <c r="E53" i="3"/>
  <c r="E62" i="3"/>
  <c r="E65" i="3"/>
  <c r="E68" i="3"/>
  <c r="E78" i="3"/>
  <c r="E83" i="3"/>
  <c r="E114" i="3"/>
  <c r="E127" i="3"/>
  <c r="E99" i="3"/>
  <c r="E198" i="3"/>
  <c r="E208" i="3"/>
  <c r="E202" i="3" s="1"/>
  <c r="D109" i="3"/>
  <c r="D45" i="3"/>
  <c r="D42" i="3" s="1"/>
  <c r="D87" i="3"/>
  <c r="D81" i="3" s="1"/>
  <c r="D132" i="3"/>
  <c r="D126" i="3" s="1"/>
  <c r="D19" i="3"/>
  <c r="D18" i="3" s="1"/>
  <c r="E132" i="3"/>
  <c r="E45" i="3"/>
  <c r="E137" i="3" l="1"/>
  <c r="E126" i="3"/>
  <c r="D60" i="3"/>
  <c r="D277" i="3"/>
  <c r="D231" i="3" s="1"/>
  <c r="D230" i="3" s="1"/>
  <c r="E277" i="3"/>
  <c r="E28" i="3"/>
  <c r="E110" i="3"/>
  <c r="E42" i="3"/>
  <c r="E50" i="3"/>
  <c r="E61" i="3"/>
  <c r="E82" i="3"/>
  <c r="E81" i="3" s="1"/>
  <c r="E109" i="3" l="1"/>
  <c r="E231" i="3"/>
  <c r="D8" i="3"/>
  <c r="E230" i="3" l="1"/>
  <c r="D319" i="3"/>
  <c r="E60" i="3"/>
  <c r="E8" i="3" l="1"/>
  <c r="E319" i="3" l="1"/>
</calcChain>
</file>

<file path=xl/sharedStrings.xml><?xml version="1.0" encoding="utf-8"?>
<sst xmlns="http://schemas.openxmlformats.org/spreadsheetml/2006/main" count="953" uniqueCount="566">
  <si>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</si>
  <si>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</si>
  <si>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</si>
  <si>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</si>
  <si>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</si>
  <si>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</si>
  <si>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</si>
  <si>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</si>
  <si>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</si>
  <si>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</si>
  <si>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</si>
  <si>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</si>
  <si>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</si>
  <si>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</si>
  <si>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</si>
  <si>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</si>
  <si>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</si>
  <si>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</si>
  <si>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</si>
  <si>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</si>
  <si>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</si>
  <si>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</si>
  <si>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</si>
  <si>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</si>
  <si>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</si>
  <si>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</si>
  <si>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</si>
  <si>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</si>
  <si>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</si>
  <si>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</si>
  <si>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</si>
  <si>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</si>
  <si>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</si>
  <si>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</si>
  <si>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</si>
  <si>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</si>
  <si>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</si>
  <si>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</si>
  <si>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</si>
  <si>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</si>
  <si>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</si>
  <si>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</si>
  <si>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</si>
  <si>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</si>
  <si>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</si>
  <si>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</si>
  <si>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</si>
  <si>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</si>
  <si>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</si>
  <si>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</si>
  <si>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</si>
  <si>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</si>
  <si>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</si>
  <si>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</si>
  <si>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</si>
  <si>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</si>
  <si>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</si>
  <si>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</si>
  <si>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</si>
  <si>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</si>
  <si>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</si>
  <si>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</si>
  <si>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</si>
  <si>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</si>
  <si>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</si>
  <si>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</si>
  <si>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</si>
  <si>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</si>
  <si>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</si>
  <si>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</si>
  <si>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</si>
  <si>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</si>
  <si>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</si>
  <si>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</si>
  <si>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</si>
  <si>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</si>
  <si>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</si>
  <si>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</si>
  <si>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</si>
  <si>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</si>
  <si>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</si>
  <si>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</si>
  <si>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</si>
  <si>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</si>
  <si>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</si>
  <si>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</si>
  <si>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</si>
  <si>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</si>
  <si>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</si>
  <si>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</si>
  <si>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</si>
  <si>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</si>
  <si>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</si>
  <si>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</si>
  <si>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</si>
  <si>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</si>
  <si>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</si>
  <si>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</si>
  <si>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</si>
  <si>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</si>
  <si>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</si>
  <si>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</si>
  <si>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</si>
  <si>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</si>
  <si>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</si>
  <si>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</si>
  <si>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</si>
  <si>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</si>
  <si>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</si>
  <si>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</si>
  <si>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</si>
  <si>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</si>
  <si>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</si>
  <si>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</si>
  <si>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</si>
  <si>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</si>
  <si>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</si>
  <si>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</si>
  <si>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</si>
  <si>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</si>
  <si>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</si>
  <si>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</si>
  <si>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</si>
  <si>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</si>
  <si>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</si>
  <si>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</si>
  <si>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</si>
  <si>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</si>
  <si>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</si>
  <si>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</si>
  <si>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</si>
  <si>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</si>
  <si>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</si>
  <si>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</si>
  <si>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</si>
  <si>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</si>
  <si>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</si>
  <si>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</si>
  <si>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</si>
  <si>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</si>
  <si>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</si>
  <si>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</si>
  <si>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</si>
  <si>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</si>
  <si>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</si>
  <si>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</si>
  <si>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</si>
  <si>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</si>
  <si>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</si>
  <si>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</si>
  <si>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</si>
  <si>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</si>
  <si>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</si>
  <si>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</si>
  <si>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</si>
  <si>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</si>
  <si>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</si>
  <si>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</si>
  <si>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</si>
  <si>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</si>
  <si>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</si>
  <si>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</si>
  <si>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</si>
  <si>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</si>
  <si>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</si>
  <si>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</si>
  <si>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</si>
  <si>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</si>
  <si>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</si>
  <si>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</si>
  <si>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</si>
  <si>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</si>
  <si>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</si>
  <si>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</si>
  <si>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</si>
  <si>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</si>
  <si>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</si>
  <si>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</si>
  <si>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</si>
  <si>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</si>
  <si>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</si>
  <si>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</si>
  <si>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</si>
  <si>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</si>
  <si>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</si>
  <si>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</si>
  <si>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</si>
  <si>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</si>
  <si>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</si>
  <si>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</si>
  <si>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</si>
  <si>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</si>
  <si>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</si>
  <si>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</si>
  <si>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</si>
  <si>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</si>
  <si>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</si>
  <si>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</si>
  <si>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</si>
  <si>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</si>
  <si>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</si>
  <si>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</si>
  <si>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</si>
  <si>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</si>
  <si>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</si>
  <si>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</si>
  <si>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</si>
  <si>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</si>
  <si>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</si>
  <si>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</si>
  <si>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</si>
  <si>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</si>
  <si>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</si>
  <si>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</si>
  <si>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</si>
  <si>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</si>
  <si>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</si>
  <si>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</si>
  <si>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</si>
  <si>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</si>
  <si>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</si>
  <si>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</si>
  <si>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</si>
  <si>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</si>
  <si>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</si>
  <si>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</si>
  <si>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</si>
  <si>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</si>
  <si>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</si>
  <si>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</si>
  <si>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</si>
  <si>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</si>
  <si>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</si>
  <si>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</si>
  <si>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</si>
  <si>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</si>
  <si>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</si>
  <si>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</si>
  <si>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</si>
  <si>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</si>
  <si>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</si>
  <si>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</si>
  <si>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</si>
  <si>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</si>
  <si>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</si>
  <si>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</si>
  <si>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</si>
  <si>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</si>
  <si>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</si>
  <si>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</si>
  <si>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</si>
  <si>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</si>
  <si>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</si>
  <si>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</si>
  <si>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</si>
  <si>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</si>
  <si>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</si>
  <si>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</si>
  <si>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</si>
  <si>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</si>
  <si>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</si>
  <si>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</si>
  <si>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</si>
  <si>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</si>
  <si>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</si>
  <si>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</si>
  <si>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</si>
  <si>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</si>
  <si>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</si>
  <si>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</si>
  <si>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</si>
  <si>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</si>
  <si>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</si>
  <si>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</si>
  <si>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</si>
  <si>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</si>
  <si>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</si>
  <si>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</si>
  <si>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</si>
  <si>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</si>
  <si>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</si>
  <si>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</si>
  <si>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</si>
  <si>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</si>
  <si>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</si>
  <si>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</si>
  <si>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</si>
  <si>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</si>
  <si>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</si>
  <si>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</si>
  <si>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</si>
  <si>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</si>
  <si>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</si>
  <si>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</si>
  <si>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</si>
  <si>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</si>
  <si>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</si>
  <si>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</si>
  <si>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</si>
  <si>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</si>
  <si>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</si>
  <si>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</si>
  <si>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</si>
  <si>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</si>
  <si>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</si>
  <si>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</si>
  <si>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</si>
  <si>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</si>
  <si>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</si>
  <si>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</si>
  <si>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</si>
  <si>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</si>
  <si>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</si>
  <si>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</si>
  <si>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</si>
  <si>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</si>
  <si>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</si>
  <si>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</si>
  <si>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</si>
  <si>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</si>
  <si>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</si>
  <si>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</si>
  <si>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</si>
  <si>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</si>
  <si>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</si>
  <si>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</si>
  <si>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</si>
  <si>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 xml:space="preserve">Плата за выбросы загрязняющих веществ в атмосферный воздух стационарными объектами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</si>
  <si>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</si>
  <si>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(неосновательное обогащение)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</si>
  <si>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</si>
  <si>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</si>
  <si>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</si>
  <si>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</si>
  <si>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</si>
  <si>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</si>
  <si>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</si>
  <si>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Инициативные платежи</t>
  </si>
  <si>
    <t>1 17 15000 00 0000 150</t>
  </si>
  <si>
    <t>Инициативные платежи, зачисляемые в бюджеты городских округов</t>
  </si>
  <si>
    <t>1 17 15020 04 0000 150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</si>
  <si>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</si>
  <si>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</si>
  <si>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</si>
  <si>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</si>
  <si>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</si>
  <si>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</si>
  <si>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</si>
  <si>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</si>
  <si>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</si>
  <si>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</si>
  <si>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</si>
  <si>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</si>
  <si>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</si>
  <si>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</si>
  <si>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</si>
  <si>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доходы от  компенсации затрат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</si>
  <si>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</si>
  <si>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</si>
  <si>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</si>
  <si>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</si>
  <si>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</si>
  <si>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</si>
  <si>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</si>
  <si>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</si>
  <si>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 xml:space="preserve"> 2 18 04030 04 0000 150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</si>
  <si>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</si>
  <si>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</si>
  <si>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</si>
  <si>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</si>
  <si>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</si>
  <si>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</si>
  <si>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</si>
  <si>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</si>
  <si>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</si>
  <si>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</si>
  <si>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</si>
  <si>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Дотации бюджетам на поддержку мер по обеспечению сбалансированности бюджетов</t>
  </si>
  <si>
    <t>2 02 15002 04 0000 150</t>
  </si>
  <si>
    <t>2 02 15002 00 0000 150</t>
  </si>
  <si>
    <t>Прочая субсидия бюджетам городских округов (субсидии местным бюджетам на финансовую поддержку реализации инициативных проектов)</t>
  </si>
  <si>
    <t>Прочие субсидии бюджетам городских округов (субсидий местным бюджетам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</si>
  <si>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</si>
  <si>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</si>
  <si>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</si>
  <si>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</si>
  <si>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развитие деятельности модельных муниципальных библиотек)</t>
  </si>
  <si>
    <t>Субсидии бюджетам городских округов на техническое оснащение региональных и муниципальных музеев</t>
  </si>
  <si>
    <t>2 02 25590 04 0000 150</t>
  </si>
  <si>
    <t>Субсидии бюджетам на техническое оснащение региональных и муниципальных музеев</t>
  </si>
  <si>
    <t>2 02 25590 00 0000 150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</si>
  <si>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</si>
  <si>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</si>
  <si>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</si>
  <si>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</si>
  <si>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</si>
  <si>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</si>
  <si>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</si>
  <si>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</si>
  <si>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</si>
  <si>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2 02 45179 04 0000 150</t>
  </si>
  <si>
    <t>2 02 45303 00 0000 150</t>
  </si>
  <si>
    <t>2 02 45303 04 0000 150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</si>
  <si>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</si>
  <si>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</si>
  <si>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</si>
  <si>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</si>
  <si>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</si>
  <si>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Доходы бюджетов городских округов от возврата бюджетными учреждениями остатков субсидий прошлых лет</t>
  </si>
  <si>
    <t xml:space="preserve"> 2 18 04010 04 0000 150</t>
  </si>
  <si>
    <t xml:space="preserve"> 1 17 15020 04 0020 150</t>
  </si>
  <si>
    <t>1 17 15020 04 0030 150</t>
  </si>
  <si>
    <t xml:space="preserve"> 1 17 15020 04 0090 150</t>
  </si>
  <si>
    <t>1 17 15020 04 0100 150</t>
  </si>
  <si>
    <t xml:space="preserve"> 1 17 15020 04 0110 150</t>
  </si>
  <si>
    <t>1 17 15020 04 0120 150</t>
  </si>
  <si>
    <t>1 17 15020 04 0130 150</t>
  </si>
  <si>
    <t>1 17 15020 04 0140 150</t>
  </si>
  <si>
    <t>1 17 15020 04 0150 150</t>
  </si>
  <si>
    <t>Управляющий делами</t>
  </si>
  <si>
    <t>Е.Ф.Супрунова</t>
  </si>
  <si>
    <t>План</t>
  </si>
  <si>
    <t>Исполнение</t>
  </si>
  <si>
    <t>% исполнения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</si>
  <si>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</si>
  <si>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</si>
  <si>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Единый налог на вмененный доход для отдельных видов деятельности</t>
  </si>
  <si>
    <t>1 05 02000 02 0000 110</t>
  </si>
  <si>
    <t xml:space="preserve"> 1 05 02010 02 0000 110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</si>
  <si>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</si>
  <si>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1 05 01012 01 0000 110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</si>
  <si>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</si>
  <si>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</si>
  <si>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</si>
  <si>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</si>
  <si>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1 09 07000 00 0000 110</t>
  </si>
  <si>
    <t>1 09 07032 04 0000 110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</si>
  <si>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</si>
  <si>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</si>
  <si>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</si>
  <si>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</si>
  <si>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>1 11 05410 00 0000 120</t>
  </si>
  <si>
    <t>1 11 05410 04 0000 120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</si>
  <si>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</si>
  <si>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</si>
  <si>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 xml:space="preserve"> 1 11 09 080 04 2130 120</t>
  </si>
  <si>
    <t>1 11 09 080 04 2131 120</t>
  </si>
  <si>
    <t>1 11 09 080 04 2132 120</t>
  </si>
  <si>
    <t>908</t>
  </si>
  <si>
    <t>809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</si>
  <si>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</si>
  <si>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</si>
  <si>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</si>
  <si>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</si>
  <si>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1 16 01130 01 0000 140</t>
  </si>
  <si>
    <t>1 16 01100 01 0000 140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</si>
  <si>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</si>
  <si>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</si>
  <si>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</si>
  <si>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1 16 10030 04 0000 140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</si>
  <si>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</si>
  <si>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Невыясненные поступления</t>
  </si>
  <si>
    <t>Невыясненные поступления, зачисляемые в бюджеты городских округов</t>
  </si>
  <si>
    <t>1 17 01040 04 0000 180</t>
  </si>
  <si>
    <t>1 17 01000 00 0000 180</t>
  </si>
  <si>
    <t>1 16 10129 01 0000 140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</si>
  <si>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</si>
  <si>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</si>
  <si>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2 02 20299 04 0000 150</t>
  </si>
  <si>
    <t>2 02 20299 00 0000 150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</si>
  <si>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</si>
  <si>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</si>
  <si>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 xml:space="preserve"> 2 02 25116 00 0000 150</t>
  </si>
  <si>
    <t>2 02 25116 04 0000 150</t>
  </si>
  <si>
    <t>188</t>
  </si>
  <si>
    <t>1 16 07090 04 0000 140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</si>
  <si>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</si>
  <si>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</si>
  <si>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</si>
  <si>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</si>
  <si>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</si>
  <si>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</si>
  <si>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</si>
  <si>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</si>
  <si>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2 02 45424 04 0000 150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</si>
  <si>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</si>
  <si>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2 02 25081 04 0000 150</t>
  </si>
  <si>
    <t>1 09 07030 00 0000 110</t>
  </si>
  <si>
    <t>1 11 05420 00 0000 120</t>
  </si>
  <si>
    <t>1 11 05420 04 0000 120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</si>
  <si>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</si>
  <si>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</si>
  <si>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</si>
  <si>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1 16 01160 01 0000 140</t>
  </si>
  <si>
    <t xml:space="preserve"> 1 16 01163 01 0000 140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</si>
  <si>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</si>
  <si>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</si>
  <si>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1 16 10100 04 0000 140</t>
  </si>
  <si>
    <t>2 02 25081 00 0000 150</t>
  </si>
  <si>
    <t>Субсидии бюджетам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</si>
  <si>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</si>
  <si>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</si>
  <si>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сибсидии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области)</t>
  </si>
  <si>
    <t>Пдата за размещениен твердых коммунальных отходов</t>
  </si>
  <si>
    <t>1 12 01042 01 0000 120</t>
  </si>
  <si>
    <t>1 09 00000 00 0000 000</t>
  </si>
  <si>
    <t>1 13 02 994 04 0000 130</t>
  </si>
  <si>
    <t>1 14 03000 00 0000 410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</si>
  <si>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</si>
  <si>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1 16 07 090 04 0000 140</t>
  </si>
  <si>
    <t>1 16 10 032 04 0000 140</t>
  </si>
  <si>
    <t>2 02 49999 00 0000 150</t>
  </si>
  <si>
    <t>2 02 49999 04 0000 150</t>
  </si>
  <si>
    <t>Прочие межбюджетные трансферты, передаваемые бюджетам городских округов</t>
  </si>
  <si>
    <t>нициативные платежи, зачисляемые в бюджеты городских округов (Благоустройство территории расположения комплекса по увековечению памяти погибших участников СВО)</t>
  </si>
  <si>
    <t>Инициативные платежи, зачисляемые в бюджеты городских округов (Ремонт участка автомобильной дороги местного значения по Усть-Илимскому шоссе от заправки № 101 в сторону У-ИГЭС)</t>
  </si>
  <si>
    <t>Инициативные платежи, зачисляемые в бюджеты городских округов (Ремонт участка автомобильной дороги местного значения от автодороги № 105 У-ИГЭС в сторону Усть-Илимского шоссе)</t>
  </si>
  <si>
    <t>Инициативные платежи, зачисляемые в бюджеты городских округов (Благоустройство территории МАУ «Лагерь отдыха и оздоровления «Лосенок»)</t>
  </si>
  <si>
    <t>Инициативные платежи, зачисляемые в бюджеты городских округов (Благоустройство прилегающей территории Спортивно-молодежного центра «Притяжение»)</t>
  </si>
  <si>
    <t>Инициативные платежи, зачисляемые в бюджеты городских округов (Благоустройство прилегающей территории к центральному входу МБОУ «Средняя общеобразовательная школа № 1»)</t>
  </si>
  <si>
    <t>Инициативные платежи, зачисляемые в бюджеты городских округов (Организация детской, спортивно-игровой площадки «Спорт с внуками рядом»)</t>
  </si>
  <si>
    <t>Инициативные платежи, зачисляемые в бюджеты городских округов (Благоустройство территории, прилегающей к МБОУ «Средняя общеобразовательная школа № 1»)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</si>
  <si>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</si>
  <si>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1 11 09080 04 3030 120</t>
  </si>
  <si>
    <t>Средства от распоряжения и реализации выморочного и иного имущества, обращенного в доходы городских округов (в части реализации основных средств по указанному имуществу)</t>
  </si>
  <si>
    <t>1 14 03040 04 0000 410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</si>
  <si>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</si>
  <si>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</si>
  <si>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</si>
  <si>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1 16 01090 01 0000 140</t>
  </si>
  <si>
    <t>1 16 01093 01 0000 140</t>
  </si>
  <si>
    <t>1 16 01103 01 0000 140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</si>
  <si>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</si>
  <si>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</si>
  <si>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1 16 01133 01 0000 140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</si>
  <si>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</si>
  <si>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1 17 15020 04 0160 150</t>
  </si>
  <si>
    <t xml:space="preserve"> 1 17 15020 04 0190 150</t>
  </si>
  <si>
    <t xml:space="preserve"> 17 15020 04 0200 150</t>
  </si>
  <si>
    <t>1 17 15020 04 0210 150</t>
  </si>
  <si>
    <t xml:space="preserve"> 1 17 15020 04 0220 150</t>
  </si>
  <si>
    <t>1 17 15020 04 0240 150</t>
  </si>
  <si>
    <t>1 17 15020 04 0260 150</t>
  </si>
  <si>
    <t>1 17 15020 04 0270 150</t>
  </si>
  <si>
    <t>Дотации бюджетам городских округов на поддержку мер по обеспечению сбалансированности бюджетов</t>
  </si>
  <si>
    <t>Прочие субсидии бюджетам городских округов (субсидии местным бюджетам на софинансирование мероприятий по капитальному ремонту образовательных организаций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</si>
  <si>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области, расселяемых с финансовой поддержкой государственной корпорации - Фонда содействия реформированию жилищно-коммунального хозяйства, за счет средств, поступивших от Фонда содействия реформированию жилищно-коммунального хозяйства, за счет средств областного бюджета</t>
  </si>
  <si>
    <t>Субвенции бюджетам бюджетной системы Российской Федерации)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</si>
  <si>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</si>
  <si>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</si>
  <si>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Субвенции на 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</si>
  <si>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Субвенции на осуществление отдельных областных государственных полномочий по обеспечению бесплатным питанием отдельных категорий обучающихся</t>
  </si>
  <si>
    <t>Субвенции на 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</si>
  <si>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Субвенции на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</si>
  <si>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Субвенции на осуществление отдельных областных государственных полномочий в сфере труда</t>
  </si>
  <si>
    <t>Субвенции на 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</si>
  <si>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Субвенции на осуществление отдельных областных государственных полномочий в сфере водоснабжения и водоотведения</t>
  </si>
  <si>
    <t>Субвенции на 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</si>
  <si>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Субвенции на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</si>
  <si>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</si>
  <si>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на осуществление областных государственных полномочий по обеспечению бесплатным двухразовым питанием детей-инвалидов</t>
  </si>
  <si>
    <t>Прочие межбюджетные трансферты, передаваемые бюджетам городских округов (иные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объединения)</t>
  </si>
  <si>
    <t>Свыше 200%</t>
  </si>
  <si>
    <t>свыше 200%</t>
  </si>
  <si>
    <t xml:space="preserve">Отчет об исполнении бюджета города по доходам за 9 месяцев 2023 года </t>
  </si>
  <si>
    <t xml:space="preserve">Приложение № 1
УТВЕРЖДЕН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города Усть-Илимска от 26.10.2023г. № 606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</si>
</sst>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  <xf numFmtId="0" fontId="13" fillId="0" borderId="6">
      <alignment horizontal="left" wrapText="1" indent="2"/>
    </xf>
  </cellStyleXfs>
  <cellXfs count="158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9" fillId="2" borderId="1" xfId="6" applyNumberFormat="1" applyFont="1" applyFill="1" applyBorder="1" applyAlignment="1" applyProtection="1">
      <alignment horizontal="left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4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168" fontId="3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/>
    <xf numFmtId="4" fontId="3" fillId="2" borderId="0" xfId="0" applyNumberFormat="1" applyFont="1" applyFill="1" applyBorder="1" applyAlignment="1"/>
    <xf numFmtId="0" fontId="3" fillId="2" borderId="0" xfId="0" applyFont="1" applyFill="1" applyAlignment="1"/>
    <xf numFmtId="0" fontId="5" fillId="2" borderId="0" xfId="0" applyFont="1" applyFill="1" applyBorder="1" applyAlignment="1"/>
    <xf numFmtId="0" fontId="6" fillId="2" borderId="0" xfId="0" applyFont="1" applyFill="1" applyBorder="1" applyAlignment="1"/>
    <xf numFmtId="0" fontId="19" fillId="2" borderId="1" xfId="19" applyNumberFormat="1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19" fillId="2" borderId="1" xfId="6" applyNumberFormat="1" applyFont="1" applyFill="1" applyBorder="1" applyAlignment="1" applyProtection="1">
      <alignment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>
      <alignment horizontal="left"/>
    </xf>
    <xf numFmtId="0" fontId="16" fillId="2" borderId="0" xfId="0" applyFont="1" applyFill="1" applyBorder="1" applyAlignment="1"/>
    <xf numFmtId="0" fontId="1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4" fontId="6" fillId="2" borderId="0" xfId="0" applyNumberFormat="1" applyFont="1" applyFill="1" applyBorder="1" applyAlignment="1"/>
    <xf numFmtId="0" fontId="7" fillId="2" borderId="0" xfId="4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7" fillId="2" borderId="0" xfId="10" applyFont="1" applyFill="1" applyBorder="1" applyAlignment="1">
      <alignment horizontal="left"/>
    </xf>
    <xf numFmtId="0" fontId="3" fillId="2" borderId="0" xfId="14" applyFont="1" applyFill="1" applyBorder="1" applyProtection="1">
      <protection hidden="1"/>
    </xf>
    <xf numFmtId="0" fontId="3" fillId="2" borderId="0" xfId="14" applyFont="1" applyFill="1" applyBorder="1" applyAlignment="1" applyProtection="1">
      <alignment horizontal="left"/>
      <protection hidden="1"/>
    </xf>
    <xf numFmtId="0" fontId="0" fillId="2" borderId="0" xfId="0" applyFill="1" applyBorder="1" applyAlignment="1">
      <alignment horizontal="center"/>
    </xf>
    <xf numFmtId="0" fontId="20" fillId="2" borderId="0" xfId="0" applyFont="1" applyFill="1"/>
    <xf numFmtId="4" fontId="16" fillId="2" borderId="0" xfId="0" applyNumberFormat="1" applyFont="1" applyFill="1" applyBorder="1" applyAlignment="1"/>
    <xf numFmtId="0" fontId="20" fillId="2" borderId="0" xfId="14" applyFont="1" applyFill="1" applyBorder="1" applyProtection="1">
      <protection hidden="1"/>
    </xf>
    <xf numFmtId="4" fontId="3" fillId="2" borderId="1" xfId="1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" fontId="14" fillId="2" borderId="1" xfId="17" applyNumberFormat="1" applyFont="1" applyFill="1" applyBorder="1" applyAlignment="1" applyProtection="1">
      <alignment horizontal="center" vertical="center"/>
    </xf>
    <xf numFmtId="4" fontId="14" fillId="2" borderId="1" xfId="2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0" fontId="14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4" fontId="14" fillId="2" borderId="1" xfId="8" applyNumberFormat="1" applyFont="1" applyFill="1" applyBorder="1" applyAlignment="1">
      <alignment horizontal="center" vertical="center" wrapText="1"/>
    </xf>
    <xf numFmtId="0" fontId="7" fillId="2" borderId="0" xfId="10" applyFont="1" applyFill="1" applyBorder="1" applyAlignment="1">
      <alignment horizontal="center"/>
    </xf>
    <xf numFmtId="0" fontId="3" fillId="2" borderId="0" xfId="14" applyFont="1" applyFill="1" applyBorder="1" applyAlignment="1" applyProtection="1">
      <alignment horizontal="center"/>
      <protection hidden="1"/>
    </xf>
    <xf numFmtId="4" fontId="14" fillId="2" borderId="1" xfId="18" applyNumberFormat="1" applyFont="1" applyFill="1" applyBorder="1" applyAlignment="1" applyProtection="1">
      <alignment horizontal="center" vertical="center"/>
      <protection hidden="1"/>
    </xf>
    <xf numFmtId="4" fontId="3" fillId="2" borderId="1" xfId="18" applyNumberFormat="1" applyFont="1" applyFill="1" applyBorder="1" applyAlignment="1" applyProtection="1">
      <alignment horizontal="center" vertical="center"/>
      <protection hidden="1"/>
    </xf>
    <xf numFmtId="4" fontId="3" fillId="2" borderId="1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Border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Border="1" applyAlignment="1">
      <alignment horizontal="left"/>
    </xf>
    <xf numFmtId="0" fontId="7" fillId="2" borderId="0" xfId="14" applyFont="1" applyFill="1" applyBorder="1" applyAlignment="1" applyProtection="1">
      <alignment horizontal="right"/>
      <protection hidden="1"/>
    </xf>
    <xf numFmtId="0" fontId="7" fillId="2" borderId="0" xfId="14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xl75" xfId="19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27"/>
  <sheetViews>
    <sheetView tabSelected="1" view="pageBreakPreview" zoomScaleSheetLayoutView="100" workbookViewId="0">
      <selection activeCell="A4" sqref="A4:F4"/>
    </sheetView>
  </sheetViews>
  <sheetFormatPr defaultColWidth="8.85546875" defaultRowHeight="15" x14ac:dyDescent="0.25"/>
  <cols>
    <col min="1" max="1" width="53.85546875" style="83" customWidth="1"/>
    <col min="2" max="2" width="8" style="46" customWidth="1"/>
    <col min="3" max="3" width="20.85546875" style="46" customWidth="1"/>
    <col min="4" max="4" width="15.28515625" style="47" customWidth="1"/>
    <col min="5" max="5" width="15.5703125" style="45" customWidth="1"/>
    <col min="6" max="6" width="15.710937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47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47" hidden="1" customWidth="1"/>
    <col min="58" max="58" width="19.28515625" style="47" hidden="1" customWidth="1"/>
    <col min="59" max="59" width="10" style="47" hidden="1" customWidth="1"/>
    <col min="60" max="64" width="8.85546875" style="47" hidden="1" customWidth="1"/>
    <col min="65" max="65" width="0.140625" style="6" customWidth="1"/>
    <col min="66" max="66" width="8.85546875" style="6" hidden="1" customWidth="1"/>
    <col min="67" max="67" width="35.7109375" style="47" customWidth="1"/>
    <col min="68" max="16384" width="8.85546875" style="47"/>
  </cols>
  <sheetData>
    <row r="1" spans="1:66" s="4" customFormat="1" ht="25.9" customHeight="1" x14ac:dyDescent="0.25">
      <c r="A1" s="82"/>
      <c r="B1" s="1"/>
      <c r="C1" s="2"/>
      <c r="D1" s="139" t="s">
        <v>565</v>
      </c>
      <c r="E1" s="139"/>
      <c r="F1" s="139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2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38"/>
      <c r="BL1" s="138"/>
      <c r="BM1" s="3"/>
      <c r="BN1" s="3"/>
    </row>
    <row r="2" spans="1:66" s="4" customFormat="1" ht="31.15" customHeight="1" x14ac:dyDescent="0.25">
      <c r="A2" s="82"/>
      <c r="B2" s="7"/>
      <c r="C2" s="2"/>
      <c r="D2" s="139"/>
      <c r="E2" s="139"/>
      <c r="F2" s="139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92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38"/>
      <c r="BL2" s="138"/>
      <c r="BM2" s="3"/>
      <c r="BN2" s="3"/>
    </row>
    <row r="3" spans="1:66" s="4" customFormat="1" ht="12.6" customHeight="1" x14ac:dyDescent="0.25">
      <c r="A3" s="82"/>
      <c r="B3" s="7"/>
      <c r="C3" s="2"/>
      <c r="D3" s="139"/>
      <c r="E3" s="139"/>
      <c r="F3" s="139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92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38"/>
      <c r="BL3" s="138"/>
      <c r="BM3" s="3"/>
      <c r="BN3" s="3"/>
    </row>
    <row r="4" spans="1:66" s="10" customFormat="1" ht="17.45" customHeight="1" x14ac:dyDescent="0.25">
      <c r="A4" s="157" t="s">
        <v>564</v>
      </c>
      <c r="B4" s="157"/>
      <c r="C4" s="157"/>
      <c r="D4" s="157"/>
      <c r="E4" s="157"/>
      <c r="F4" s="157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2.6" customHeight="1" x14ac:dyDescent="0.25">
      <c r="A5" s="82"/>
      <c r="B5" s="11"/>
      <c r="C5" s="11"/>
      <c r="D5" s="12"/>
      <c r="E5" s="108"/>
      <c r="F5" s="13" t="s">
        <v>299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92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28.9" customHeight="1" x14ac:dyDescent="0.25">
      <c r="A6" s="152" t="s">
        <v>0</v>
      </c>
      <c r="B6" s="153" t="s">
        <v>1</v>
      </c>
      <c r="C6" s="153"/>
      <c r="D6" s="154" t="s">
        <v>421</v>
      </c>
      <c r="E6" s="155" t="s">
        <v>422</v>
      </c>
      <c r="F6" s="156" t="s">
        <v>423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92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7" customHeight="1" x14ac:dyDescent="0.25">
      <c r="A7" s="152"/>
      <c r="B7" s="14" t="s">
        <v>2</v>
      </c>
      <c r="C7" s="14" t="s">
        <v>3</v>
      </c>
      <c r="D7" s="154"/>
      <c r="E7" s="155"/>
      <c r="F7" s="156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92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6.899999999999999" customHeight="1" x14ac:dyDescent="0.25">
      <c r="A8" s="49" t="s">
        <v>4</v>
      </c>
      <c r="B8" s="16" t="s">
        <v>5</v>
      </c>
      <c r="C8" s="54" t="s">
        <v>6</v>
      </c>
      <c r="D8" s="50">
        <f>+D9+D18+D28+D42+D50+D60+D99+D109+D126+D137+D202+D56</f>
        <v>1318532361.3899999</v>
      </c>
      <c r="E8" s="60">
        <f>+E9+E18+E28+E42+E50+E60+E99+E109+E126+E137+E202+E56</f>
        <v>883089992.21000004</v>
      </c>
      <c r="F8" s="84">
        <f>+E8/D8</f>
        <v>0.66975223215533708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49"/>
      <c r="U8" s="149"/>
      <c r="V8" s="149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ht="15" customHeight="1" x14ac:dyDescent="0.25">
      <c r="A9" s="49" t="s">
        <v>7</v>
      </c>
      <c r="B9" s="16" t="s">
        <v>5</v>
      </c>
      <c r="C9" s="17" t="s">
        <v>8</v>
      </c>
      <c r="D9" s="50">
        <f>+D10</f>
        <v>691716801</v>
      </c>
      <c r="E9" s="60">
        <f>+E10</f>
        <v>473667522.43000001</v>
      </c>
      <c r="F9" s="84">
        <f t="shared" ref="F9:F70" si="0">+E9/D9</f>
        <v>0.6847708798531843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149999999999999" customHeight="1" x14ac:dyDescent="0.2">
      <c r="A10" s="49" t="s">
        <v>9</v>
      </c>
      <c r="B10" s="16" t="s">
        <v>5</v>
      </c>
      <c r="C10" s="17" t="s">
        <v>10</v>
      </c>
      <c r="D10" s="50">
        <f>+D11+D12+D14+D13+D15+D16+D17</f>
        <v>691716801</v>
      </c>
      <c r="E10" s="60">
        <f t="shared" ref="E10" si="1">+E11+E12+E14+E13+E15+E16+E17</f>
        <v>473667522.43000001</v>
      </c>
      <c r="F10" s="84">
        <f t="shared" si="0"/>
        <v>0.6847708798531843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49"/>
      <c r="U10" s="149"/>
      <c r="V10" s="149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68.45" customHeight="1" x14ac:dyDescent="0.25">
      <c r="A11" s="64" t="s">
        <v>11</v>
      </c>
      <c r="B11" s="55" t="s">
        <v>12</v>
      </c>
      <c r="C11" s="55" t="s">
        <v>13</v>
      </c>
      <c r="D11" s="50">
        <v>610349951</v>
      </c>
      <c r="E11" s="111">
        <v>427268846.62</v>
      </c>
      <c r="F11" s="84">
        <f t="shared" si="0"/>
        <v>0.70003912660263323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97.15" customHeight="1" x14ac:dyDescent="0.25">
      <c r="A12" s="64" t="s">
        <v>14</v>
      </c>
      <c r="B12" s="55" t="s">
        <v>12</v>
      </c>
      <c r="C12" s="55" t="s">
        <v>15</v>
      </c>
      <c r="D12" s="50">
        <v>2700000</v>
      </c>
      <c r="E12" s="111">
        <v>3084540.68</v>
      </c>
      <c r="F12" s="84">
        <f t="shared" si="0"/>
        <v>1.142422474074074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92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4.45" customHeight="1" x14ac:dyDescent="0.25">
      <c r="A13" s="64" t="s">
        <v>16</v>
      </c>
      <c r="B13" s="55" t="s">
        <v>12</v>
      </c>
      <c r="C13" s="55" t="s">
        <v>17</v>
      </c>
      <c r="D13" s="50">
        <v>6500760</v>
      </c>
      <c r="E13" s="111">
        <v>3595888.33</v>
      </c>
      <c r="F13" s="84">
        <f t="shared" si="0"/>
        <v>0.55314891335782279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92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79.900000000000006" customHeight="1" x14ac:dyDescent="0.25">
      <c r="A14" s="64" t="s">
        <v>18</v>
      </c>
      <c r="B14" s="55" t="s">
        <v>12</v>
      </c>
      <c r="C14" s="55" t="s">
        <v>19</v>
      </c>
      <c r="D14" s="50">
        <v>17744430</v>
      </c>
      <c r="E14" s="111">
        <v>5945854.8200000003</v>
      </c>
      <c r="F14" s="84">
        <f t="shared" si="0"/>
        <v>0.33508288629164196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92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81.599999999999994" customHeight="1" x14ac:dyDescent="0.25">
      <c r="A15" s="64" t="s">
        <v>301</v>
      </c>
      <c r="B15" s="55" t="s">
        <v>12</v>
      </c>
      <c r="C15" s="55" t="s">
        <v>300</v>
      </c>
      <c r="D15" s="50">
        <v>49021660</v>
      </c>
      <c r="E15" s="111">
        <v>17551766.350000001</v>
      </c>
      <c r="F15" s="84">
        <f t="shared" si="0"/>
        <v>0.35804104450971269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92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44.45" customHeight="1" x14ac:dyDescent="0.25">
      <c r="A16" s="77" t="s">
        <v>375</v>
      </c>
      <c r="B16" s="55" t="s">
        <v>12</v>
      </c>
      <c r="C16" s="81" t="s">
        <v>373</v>
      </c>
      <c r="D16" s="50">
        <v>3000000</v>
      </c>
      <c r="E16" s="111">
        <v>5344748.75</v>
      </c>
      <c r="F16" s="84">
        <f t="shared" si="0"/>
        <v>1.7815829166666666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92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42" customHeight="1" x14ac:dyDescent="0.25">
      <c r="A17" s="77" t="s">
        <v>376</v>
      </c>
      <c r="B17" s="55" t="s">
        <v>12</v>
      </c>
      <c r="C17" s="81" t="s">
        <v>374</v>
      </c>
      <c r="D17" s="50">
        <v>2400000</v>
      </c>
      <c r="E17" s="111">
        <v>10875876.880000001</v>
      </c>
      <c r="F17" s="84">
        <f t="shared" si="0"/>
        <v>4.5316153666666672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92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27.6" customHeight="1" x14ac:dyDescent="0.25">
      <c r="A18" s="64" t="s">
        <v>20</v>
      </c>
      <c r="B18" s="55" t="s">
        <v>5</v>
      </c>
      <c r="C18" s="55" t="s">
        <v>21</v>
      </c>
      <c r="D18" s="50">
        <f>+D19</f>
        <v>15818490</v>
      </c>
      <c r="E18" s="60">
        <f>+E19</f>
        <v>13320646.27</v>
      </c>
      <c r="F18" s="84">
        <f t="shared" si="0"/>
        <v>0.84209341536391902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92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1.15" customHeight="1" x14ac:dyDescent="0.25">
      <c r="A19" s="28" t="s">
        <v>22</v>
      </c>
      <c r="B19" s="55" t="s">
        <v>5</v>
      </c>
      <c r="C19" s="55" t="s">
        <v>23</v>
      </c>
      <c r="D19" s="50">
        <f>+D20+D22+D24+D26</f>
        <v>15818490</v>
      </c>
      <c r="E19" s="60">
        <f>+E20+E22+E24+E26</f>
        <v>13320646.27</v>
      </c>
      <c r="F19" s="84">
        <f t="shared" si="0"/>
        <v>0.84209341536391902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92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150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58.15" customHeight="1" x14ac:dyDescent="0.25">
      <c r="A20" s="28" t="s">
        <v>24</v>
      </c>
      <c r="B20" s="55" t="s">
        <v>5</v>
      </c>
      <c r="C20" s="55" t="s">
        <v>25</v>
      </c>
      <c r="D20" s="50">
        <f t="shared" ref="D20:E20" si="2">+D21</f>
        <v>7492430</v>
      </c>
      <c r="E20" s="60">
        <f t="shared" si="2"/>
        <v>6823325.2699999996</v>
      </c>
      <c r="F20" s="84">
        <f t="shared" si="0"/>
        <v>0.910695898393445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92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150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5.45" customHeight="1" x14ac:dyDescent="0.25">
      <c r="A21" s="28" t="s">
        <v>26</v>
      </c>
      <c r="B21" s="78">
        <v>182</v>
      </c>
      <c r="C21" s="56" t="s">
        <v>27</v>
      </c>
      <c r="D21" s="51">
        <f>4753570+2738860</f>
        <v>7492430</v>
      </c>
      <c r="E21" s="51">
        <v>6823325.2699999996</v>
      </c>
      <c r="F21" s="84">
        <f t="shared" si="0"/>
        <v>0.910695898393445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92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150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70.150000000000006" customHeight="1" x14ac:dyDescent="0.25">
      <c r="A22" s="28" t="s">
        <v>28</v>
      </c>
      <c r="B22" s="55" t="s">
        <v>5</v>
      </c>
      <c r="C22" s="55" t="s">
        <v>29</v>
      </c>
      <c r="D22" s="50">
        <f>+D23</f>
        <v>52040</v>
      </c>
      <c r="E22" s="60">
        <f>+E23</f>
        <v>36765.22</v>
      </c>
      <c r="F22" s="84">
        <f t="shared" si="0"/>
        <v>0.70648001537279015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92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150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9.15" customHeight="1" x14ac:dyDescent="0.25">
      <c r="A23" s="28" t="s">
        <v>30</v>
      </c>
      <c r="B23" s="55" t="s">
        <v>12</v>
      </c>
      <c r="C23" s="56" t="s">
        <v>319</v>
      </c>
      <c r="D23" s="51">
        <f>26550+25490</f>
        <v>52040</v>
      </c>
      <c r="E23" s="51">
        <v>36765.22</v>
      </c>
      <c r="F23" s="84">
        <f t="shared" si="0"/>
        <v>0.70648001537279015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92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150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57.6" customHeight="1" x14ac:dyDescent="0.25">
      <c r="A24" s="28" t="s">
        <v>31</v>
      </c>
      <c r="B24" s="55" t="s">
        <v>5</v>
      </c>
      <c r="C24" s="55" t="s">
        <v>32</v>
      </c>
      <c r="D24" s="50">
        <f>+D25</f>
        <v>9262170</v>
      </c>
      <c r="E24" s="60">
        <f>+E25</f>
        <v>7261118.7000000002</v>
      </c>
      <c r="F24" s="84">
        <f t="shared" si="0"/>
        <v>0.78395437570245419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92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150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" customHeight="1" x14ac:dyDescent="0.25">
      <c r="A25" s="28" t="s">
        <v>33</v>
      </c>
      <c r="B25" s="55" t="s">
        <v>12</v>
      </c>
      <c r="C25" s="56" t="s">
        <v>320</v>
      </c>
      <c r="D25" s="51">
        <f>3045220+6216950</f>
        <v>9262170</v>
      </c>
      <c r="E25" s="51">
        <v>7261118.7000000002</v>
      </c>
      <c r="F25" s="84">
        <f t="shared" si="0"/>
        <v>0.78395437570245419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92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150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62.45" customHeight="1" x14ac:dyDescent="0.25">
      <c r="A26" s="28" t="s">
        <v>34</v>
      </c>
      <c r="B26" s="55" t="s">
        <v>5</v>
      </c>
      <c r="C26" s="55" t="s">
        <v>35</v>
      </c>
      <c r="D26" s="50">
        <f>+D27</f>
        <v>-988150</v>
      </c>
      <c r="E26" s="60">
        <f>+E27</f>
        <v>-800562.92</v>
      </c>
      <c r="F26" s="84">
        <f t="shared" si="0"/>
        <v>0.8101633557658251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92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150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6" customHeight="1" x14ac:dyDescent="0.25">
      <c r="A27" s="28" t="s">
        <v>36</v>
      </c>
      <c r="B27" s="55" t="s">
        <v>12</v>
      </c>
      <c r="C27" s="56" t="s">
        <v>321</v>
      </c>
      <c r="D27" s="51">
        <f>-729790-258360</f>
        <v>-988150</v>
      </c>
      <c r="E27" s="51">
        <v>-800562.92</v>
      </c>
      <c r="F27" s="84">
        <f t="shared" si="0"/>
        <v>0.8101633557658251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92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150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5.6" customHeight="1" x14ac:dyDescent="0.2">
      <c r="A28" s="49" t="s">
        <v>37</v>
      </c>
      <c r="B28" s="55" t="s">
        <v>5</v>
      </c>
      <c r="C28" s="17" t="s">
        <v>38</v>
      </c>
      <c r="D28" s="50">
        <f>+D40+D29+D38+D36</f>
        <v>255800822</v>
      </c>
      <c r="E28" s="60">
        <f>+E40+E29+E38+E36</f>
        <v>141080462.52000001</v>
      </c>
      <c r="F28" s="84">
        <f t="shared" si="0"/>
        <v>0.55152466445162562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92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5.15" customHeight="1" x14ac:dyDescent="0.2">
      <c r="A29" s="28" t="s">
        <v>39</v>
      </c>
      <c r="B29" s="55" t="s">
        <v>5</v>
      </c>
      <c r="C29" s="29" t="s">
        <v>40</v>
      </c>
      <c r="D29" s="50">
        <f>+D30+D33+D35</f>
        <v>232730822</v>
      </c>
      <c r="E29" s="60">
        <f>+E30+E33+E35</f>
        <v>131491845.74000001</v>
      </c>
      <c r="F29" s="84">
        <f t="shared" si="0"/>
        <v>0.56499540804268722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92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27" customHeight="1" x14ac:dyDescent="0.2">
      <c r="A30" s="28" t="s">
        <v>41</v>
      </c>
      <c r="B30" s="55" t="s">
        <v>5</v>
      </c>
      <c r="C30" s="29" t="s">
        <v>42</v>
      </c>
      <c r="D30" s="50">
        <f>+D31+D32</f>
        <v>145371809</v>
      </c>
      <c r="E30" s="60">
        <f>+E31+E32</f>
        <v>70244978.450000003</v>
      </c>
      <c r="F30" s="84">
        <f t="shared" si="0"/>
        <v>0.48320908251200206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92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6.45" customHeight="1" x14ac:dyDescent="0.2">
      <c r="A31" s="28" t="s">
        <v>41</v>
      </c>
      <c r="B31" s="55" t="s">
        <v>12</v>
      </c>
      <c r="C31" s="29" t="s">
        <v>43</v>
      </c>
      <c r="D31" s="50">
        <f>98854280+46517529</f>
        <v>145371809</v>
      </c>
      <c r="E31" s="111">
        <v>70302819.540000007</v>
      </c>
      <c r="F31" s="84">
        <f t="shared" si="0"/>
        <v>0.48360696632728845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92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39.6" customHeight="1" x14ac:dyDescent="0.2">
      <c r="A32" s="90" t="s">
        <v>429</v>
      </c>
      <c r="B32" s="55" t="s">
        <v>12</v>
      </c>
      <c r="C32" s="29" t="s">
        <v>430</v>
      </c>
      <c r="D32" s="50">
        <v>0</v>
      </c>
      <c r="E32" s="111">
        <v>-57841.09</v>
      </c>
      <c r="F32" s="84">
        <v>0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92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42" customHeight="1" x14ac:dyDescent="0.2">
      <c r="A33" s="28" t="s">
        <v>44</v>
      </c>
      <c r="B33" s="55" t="s">
        <v>5</v>
      </c>
      <c r="C33" s="29" t="s">
        <v>45</v>
      </c>
      <c r="D33" s="50">
        <f>+D34</f>
        <v>87359013</v>
      </c>
      <c r="E33" s="60">
        <f>+E34</f>
        <v>61244258.450000003</v>
      </c>
      <c r="F33" s="84">
        <f t="shared" si="0"/>
        <v>0.70106399267583308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92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56.45" customHeight="1" x14ac:dyDescent="0.2">
      <c r="A34" s="28" t="s">
        <v>46</v>
      </c>
      <c r="B34" s="55" t="s">
        <v>12</v>
      </c>
      <c r="C34" s="29" t="s">
        <v>47</v>
      </c>
      <c r="D34" s="50">
        <f>59405000+27954013</f>
        <v>87359013</v>
      </c>
      <c r="E34" s="111">
        <v>61244258.450000003</v>
      </c>
      <c r="F34" s="84">
        <f t="shared" si="0"/>
        <v>0.70106399267583308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92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44.45" customHeight="1" x14ac:dyDescent="0.2">
      <c r="A35" s="90" t="s">
        <v>424</v>
      </c>
      <c r="B35" s="55" t="s">
        <v>12</v>
      </c>
      <c r="C35" s="72" t="s">
        <v>425</v>
      </c>
      <c r="D35" s="50">
        <v>0</v>
      </c>
      <c r="E35" s="111">
        <v>2608.84</v>
      </c>
      <c r="F35" s="84">
        <v>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92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>
        <v>0</v>
      </c>
      <c r="BN35" s="22"/>
    </row>
    <row r="36" spans="1:66" s="23" customFormat="1" ht="26.45" customHeight="1" x14ac:dyDescent="0.2">
      <c r="A36" s="90" t="s">
        <v>426</v>
      </c>
      <c r="B36" s="55" t="s">
        <v>5</v>
      </c>
      <c r="C36" s="72" t="s">
        <v>427</v>
      </c>
      <c r="D36" s="50">
        <f>+D37</f>
        <v>0</v>
      </c>
      <c r="E36" s="114">
        <f>+E37</f>
        <v>-989232.21</v>
      </c>
      <c r="F36" s="84">
        <v>0</v>
      </c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  <c r="U36" s="3"/>
      <c r="V36" s="92"/>
      <c r="W36" s="3"/>
      <c r="X36" s="3"/>
      <c r="Y36" s="22"/>
      <c r="Z36" s="22"/>
      <c r="AC36" s="21"/>
      <c r="AD36" s="21"/>
      <c r="AE36" s="21"/>
      <c r="AF36" s="21"/>
      <c r="AG36" s="21"/>
      <c r="AH36" s="21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BM36" s="22"/>
      <c r="BN36" s="22"/>
    </row>
    <row r="37" spans="1:66" s="23" customFormat="1" ht="30.6" customHeight="1" x14ac:dyDescent="0.2">
      <c r="A37" s="90" t="s">
        <v>426</v>
      </c>
      <c r="B37" s="55" t="s">
        <v>12</v>
      </c>
      <c r="C37" s="72" t="s">
        <v>428</v>
      </c>
      <c r="D37" s="50">
        <v>0</v>
      </c>
      <c r="E37" s="111">
        <v>-989232.21</v>
      </c>
      <c r="F37" s="84">
        <v>0</v>
      </c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  <c r="U37" s="3"/>
      <c r="V37" s="92"/>
      <c r="W37" s="3"/>
      <c r="X37" s="3"/>
      <c r="Y37" s="22"/>
      <c r="Z37" s="22"/>
      <c r="AC37" s="21"/>
      <c r="AD37" s="21"/>
      <c r="AE37" s="21"/>
      <c r="AF37" s="21"/>
      <c r="AG37" s="21"/>
      <c r="AH37" s="21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BM37" s="22"/>
      <c r="BN37" s="22"/>
    </row>
    <row r="38" spans="1:66" s="23" customFormat="1" ht="17.45" customHeight="1" x14ac:dyDescent="0.2">
      <c r="A38" s="28" t="s">
        <v>322</v>
      </c>
      <c r="B38" s="55" t="s">
        <v>5</v>
      </c>
      <c r="C38" s="29" t="s">
        <v>323</v>
      </c>
      <c r="D38" s="50">
        <f>+D39</f>
        <v>20000</v>
      </c>
      <c r="E38" s="60">
        <f t="shared" ref="E38" si="3">+E39</f>
        <v>70205.11</v>
      </c>
      <c r="F38" s="84">
        <f t="shared" si="0"/>
        <v>3.5102555</v>
      </c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3"/>
      <c r="U38" s="3"/>
      <c r="V38" s="92"/>
      <c r="W38" s="3"/>
      <c r="X38" s="3"/>
      <c r="Y38" s="22"/>
      <c r="Z38" s="22"/>
      <c r="AC38" s="21"/>
      <c r="AD38" s="21"/>
      <c r="AE38" s="21"/>
      <c r="AF38" s="21"/>
      <c r="AG38" s="21"/>
      <c r="AH38" s="21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BM38" s="22"/>
      <c r="BN38" s="22"/>
    </row>
    <row r="39" spans="1:66" s="23" customFormat="1" ht="15" customHeight="1" x14ac:dyDescent="0.2">
      <c r="A39" s="28" t="s">
        <v>322</v>
      </c>
      <c r="B39" s="55" t="s">
        <v>12</v>
      </c>
      <c r="C39" s="29" t="s">
        <v>324</v>
      </c>
      <c r="D39" s="50">
        <v>20000</v>
      </c>
      <c r="E39" s="60">
        <v>70205.11</v>
      </c>
      <c r="F39" s="84">
        <f t="shared" si="0"/>
        <v>3.5102555</v>
      </c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3"/>
      <c r="U39" s="3"/>
      <c r="V39" s="92"/>
      <c r="W39" s="3"/>
      <c r="X39" s="3"/>
      <c r="Y39" s="22"/>
      <c r="Z39" s="22"/>
      <c r="AC39" s="21"/>
      <c r="AD39" s="21"/>
      <c r="AE39" s="21"/>
      <c r="AF39" s="21"/>
      <c r="AG39" s="21"/>
      <c r="AH39" s="21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BM39" s="22"/>
      <c r="BN39" s="22"/>
    </row>
    <row r="40" spans="1:66" s="4" customFormat="1" ht="26.45" customHeight="1" x14ac:dyDescent="0.25">
      <c r="A40" s="28" t="s">
        <v>48</v>
      </c>
      <c r="B40" s="55" t="s">
        <v>5</v>
      </c>
      <c r="C40" s="57" t="s">
        <v>49</v>
      </c>
      <c r="D40" s="50">
        <f>+D41</f>
        <v>23050000</v>
      </c>
      <c r="E40" s="60">
        <f>+E41</f>
        <v>10507643.880000001</v>
      </c>
      <c r="F40" s="84">
        <f t="shared" si="0"/>
        <v>0.45586307505422996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92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3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ht="27.6" customHeight="1" x14ac:dyDescent="0.25">
      <c r="A41" s="28" t="s">
        <v>50</v>
      </c>
      <c r="B41" s="55" t="s">
        <v>12</v>
      </c>
      <c r="C41" s="57" t="s">
        <v>51</v>
      </c>
      <c r="D41" s="50">
        <v>23050000</v>
      </c>
      <c r="E41" s="114">
        <v>10507643.880000001</v>
      </c>
      <c r="F41" s="84">
        <f t="shared" si="0"/>
        <v>0.45586307505422996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92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91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23" customFormat="1" ht="15.6" customHeight="1" x14ac:dyDescent="0.2">
      <c r="A42" s="49" t="s">
        <v>52</v>
      </c>
      <c r="B42" s="55" t="s">
        <v>5</v>
      </c>
      <c r="C42" s="17" t="s">
        <v>53</v>
      </c>
      <c r="D42" s="50">
        <f>+D43+D45</f>
        <v>81450000</v>
      </c>
      <c r="E42" s="60">
        <f t="shared" ref="E42" si="4">+E43+E45</f>
        <v>27184390.629999999</v>
      </c>
      <c r="F42" s="84">
        <f t="shared" si="0"/>
        <v>0.33375556329036216</v>
      </c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3"/>
      <c r="U42" s="3"/>
      <c r="V42" s="92"/>
      <c r="W42" s="3"/>
      <c r="X42" s="3"/>
      <c r="Y42" s="22"/>
      <c r="Z42" s="22"/>
      <c r="AC42" s="21"/>
      <c r="AD42" s="21"/>
      <c r="AE42" s="21"/>
      <c r="AF42" s="21"/>
      <c r="AG42" s="21"/>
      <c r="AH42" s="21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BM42" s="22"/>
      <c r="BN42" s="22"/>
    </row>
    <row r="43" spans="1:66" s="4" customFormat="1" ht="14.45" customHeight="1" x14ac:dyDescent="0.25">
      <c r="A43" s="28" t="s">
        <v>54</v>
      </c>
      <c r="B43" s="55" t="s">
        <v>5</v>
      </c>
      <c r="C43" s="17" t="s">
        <v>55</v>
      </c>
      <c r="D43" s="50">
        <f>+D44</f>
        <v>14250000</v>
      </c>
      <c r="E43" s="60">
        <f>+E44</f>
        <v>3934411.86</v>
      </c>
      <c r="F43" s="84">
        <f t="shared" si="0"/>
        <v>0.27609907789473681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92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41.45" customHeight="1" x14ac:dyDescent="0.25">
      <c r="A44" s="28" t="s">
        <v>56</v>
      </c>
      <c r="B44" s="55" t="s">
        <v>12</v>
      </c>
      <c r="C44" s="17" t="s">
        <v>57</v>
      </c>
      <c r="D44" s="50">
        <v>14250000</v>
      </c>
      <c r="E44" s="114">
        <v>3934411.86</v>
      </c>
      <c r="F44" s="84">
        <f t="shared" si="0"/>
        <v>0.27609907789473681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92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91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15.6" customHeight="1" x14ac:dyDescent="0.25">
      <c r="A45" s="28" t="s">
        <v>58</v>
      </c>
      <c r="B45" s="55" t="s">
        <v>5</v>
      </c>
      <c r="C45" s="55" t="s">
        <v>59</v>
      </c>
      <c r="D45" s="50">
        <f>+D46+D48</f>
        <v>67200000</v>
      </c>
      <c r="E45" s="60">
        <f>+E46+E48</f>
        <v>23249978.77</v>
      </c>
      <c r="F45" s="84">
        <f t="shared" si="0"/>
        <v>0.34598182693452378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92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ht="16.149999999999999" customHeight="1" x14ac:dyDescent="0.25">
      <c r="A46" s="28" t="s">
        <v>60</v>
      </c>
      <c r="B46" s="55" t="s">
        <v>5</v>
      </c>
      <c r="C46" s="55" t="s">
        <v>61</v>
      </c>
      <c r="D46" s="50">
        <f>+D47</f>
        <v>55090000</v>
      </c>
      <c r="E46" s="60">
        <f>+E47</f>
        <v>20567602.82</v>
      </c>
      <c r="F46" s="84">
        <f t="shared" si="0"/>
        <v>0.37334548593211109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92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3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4" customFormat="1" ht="26.45" customHeight="1" x14ac:dyDescent="0.25">
      <c r="A47" s="28" t="s">
        <v>62</v>
      </c>
      <c r="B47" s="55" t="s">
        <v>12</v>
      </c>
      <c r="C47" s="55" t="s">
        <v>63</v>
      </c>
      <c r="D47" s="50">
        <v>55090000</v>
      </c>
      <c r="E47" s="114">
        <v>20567602.82</v>
      </c>
      <c r="F47" s="84">
        <f t="shared" si="0"/>
        <v>0.37334548593211109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92"/>
      <c r="W47" s="3"/>
      <c r="X47" s="3"/>
      <c r="Y47" s="3"/>
      <c r="Z47" s="3"/>
      <c r="AC47" s="5"/>
      <c r="AD47" s="5"/>
      <c r="AE47" s="5"/>
      <c r="AF47" s="5"/>
      <c r="AG47" s="5"/>
      <c r="AH47" s="5"/>
      <c r="AI47" s="3"/>
      <c r="AJ47" s="3"/>
      <c r="AK47" s="3"/>
      <c r="AL47" s="3"/>
      <c r="AM47" s="3"/>
      <c r="AN47" s="3"/>
      <c r="AO47" s="3"/>
      <c r="AP47" s="3"/>
      <c r="AQ47" s="3"/>
      <c r="AR47" s="6"/>
      <c r="AS47" s="6"/>
      <c r="AT47" s="3"/>
      <c r="AU47" s="3"/>
      <c r="AV47" s="3"/>
      <c r="AW47" s="3"/>
      <c r="BM47" s="3"/>
      <c r="BN47" s="3"/>
    </row>
    <row r="48" spans="1:66" s="4" customFormat="1" ht="13.15" customHeight="1" x14ac:dyDescent="0.25">
      <c r="A48" s="28" t="s">
        <v>64</v>
      </c>
      <c r="B48" s="55" t="s">
        <v>5</v>
      </c>
      <c r="C48" s="55" t="s">
        <v>65</v>
      </c>
      <c r="D48" s="50">
        <f>+D49</f>
        <v>12110000</v>
      </c>
      <c r="E48" s="60">
        <f>+E49</f>
        <v>2682375.9500000002</v>
      </c>
      <c r="F48" s="84">
        <f t="shared" si="0"/>
        <v>0.22150090421139557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92"/>
      <c r="W48" s="3"/>
      <c r="X48" s="3"/>
      <c r="Y48" s="3"/>
      <c r="Z48" s="3"/>
      <c r="AC48" s="5"/>
      <c r="AD48" s="5"/>
      <c r="AE48" s="5"/>
      <c r="AF48" s="5"/>
      <c r="AG48" s="5"/>
      <c r="AH48" s="5"/>
      <c r="AI48" s="3"/>
      <c r="AJ48" s="3"/>
      <c r="AK48" s="3"/>
      <c r="AL48" s="3"/>
      <c r="AM48" s="3"/>
      <c r="AN48" s="3"/>
      <c r="AO48" s="3"/>
      <c r="AP48" s="3"/>
      <c r="AQ48" s="3"/>
      <c r="AR48" s="6"/>
      <c r="AS48" s="6"/>
      <c r="AT48" s="3"/>
      <c r="AU48" s="3"/>
      <c r="AV48" s="3"/>
      <c r="AW48" s="3"/>
      <c r="BM48" s="3"/>
      <c r="BN48" s="3"/>
    </row>
    <row r="49" spans="1:66" s="4" customFormat="1" ht="30" customHeight="1" x14ac:dyDescent="0.25">
      <c r="A49" s="28" t="s">
        <v>66</v>
      </c>
      <c r="B49" s="55" t="s">
        <v>12</v>
      </c>
      <c r="C49" s="55" t="s">
        <v>67</v>
      </c>
      <c r="D49" s="50">
        <v>12110000</v>
      </c>
      <c r="E49" s="114">
        <v>2682375.9500000002</v>
      </c>
      <c r="F49" s="84">
        <f t="shared" si="0"/>
        <v>0.22150090421139557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92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91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31" customFormat="1" ht="15.6" customHeight="1" x14ac:dyDescent="0.2">
      <c r="A50" s="49" t="s">
        <v>68</v>
      </c>
      <c r="B50" s="16" t="s">
        <v>5</v>
      </c>
      <c r="C50" s="17" t="s">
        <v>69</v>
      </c>
      <c r="D50" s="50">
        <f>+D51+D53</f>
        <v>21645000</v>
      </c>
      <c r="E50" s="60">
        <f t="shared" ref="E50" si="5">+E51+E53</f>
        <v>15225215.51</v>
      </c>
      <c r="F50" s="84">
        <f t="shared" si="0"/>
        <v>0.70340565996765991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92"/>
      <c r="U50" s="92"/>
      <c r="V50" s="92"/>
      <c r="W50" s="92"/>
      <c r="X50" s="92"/>
      <c r="Y50" s="30"/>
      <c r="Z50" s="30"/>
      <c r="AC50" s="32"/>
      <c r="AD50" s="32"/>
      <c r="AE50" s="32"/>
      <c r="AF50" s="32"/>
      <c r="AG50" s="32"/>
      <c r="AH50" s="32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BM50" s="30"/>
      <c r="BN50" s="30"/>
    </row>
    <row r="51" spans="1:66" s="31" customFormat="1" ht="28.9" customHeight="1" x14ac:dyDescent="0.2">
      <c r="A51" s="28" t="s">
        <v>70</v>
      </c>
      <c r="B51" s="55" t="s">
        <v>5</v>
      </c>
      <c r="C51" s="17" t="s">
        <v>71</v>
      </c>
      <c r="D51" s="50">
        <f>+D52</f>
        <v>21600000</v>
      </c>
      <c r="E51" s="60">
        <f>+E52</f>
        <v>15215215.51</v>
      </c>
      <c r="F51" s="84">
        <f t="shared" si="0"/>
        <v>0.70440812546296294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92"/>
      <c r="U51" s="92"/>
      <c r="V51" s="92"/>
      <c r="W51" s="92"/>
      <c r="X51" s="92"/>
      <c r="Y51" s="30"/>
      <c r="Z51" s="30"/>
      <c r="AC51" s="32"/>
      <c r="AD51" s="32"/>
      <c r="AE51" s="32"/>
      <c r="AF51" s="32"/>
      <c r="AG51" s="32"/>
      <c r="AH51" s="32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BM51" s="30"/>
      <c r="BN51" s="30"/>
    </row>
    <row r="52" spans="1:66" s="4" customFormat="1" ht="40.15" customHeight="1" x14ac:dyDescent="0.25">
      <c r="A52" s="28" t="s">
        <v>72</v>
      </c>
      <c r="B52" s="55" t="s">
        <v>12</v>
      </c>
      <c r="C52" s="17" t="s">
        <v>73</v>
      </c>
      <c r="D52" s="50">
        <v>21600000</v>
      </c>
      <c r="E52" s="114">
        <v>15215215.51</v>
      </c>
      <c r="F52" s="84">
        <f t="shared" si="0"/>
        <v>0.70440812546296294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92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91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4" customFormat="1" ht="30.6" customHeight="1" x14ac:dyDescent="0.25">
      <c r="A53" s="28" t="s">
        <v>74</v>
      </c>
      <c r="B53" s="16" t="s">
        <v>5</v>
      </c>
      <c r="C53" s="17" t="s">
        <v>75</v>
      </c>
      <c r="D53" s="50">
        <f>+D54</f>
        <v>45000</v>
      </c>
      <c r="E53" s="60">
        <f t="shared" ref="E53" si="6">+E54</f>
        <v>10000</v>
      </c>
      <c r="F53" s="84">
        <f t="shared" si="0"/>
        <v>0.22222222222222221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92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4" customFormat="1" ht="28.9" customHeight="1" x14ac:dyDescent="0.25">
      <c r="A54" s="28" t="s">
        <v>76</v>
      </c>
      <c r="B54" s="16" t="s">
        <v>5</v>
      </c>
      <c r="C54" s="17" t="s">
        <v>78</v>
      </c>
      <c r="D54" s="50">
        <f t="shared" ref="D54:E54" si="7">+D55</f>
        <v>45000</v>
      </c>
      <c r="E54" s="60">
        <f t="shared" si="7"/>
        <v>10000</v>
      </c>
      <c r="F54" s="84">
        <f t="shared" si="0"/>
        <v>0.22222222222222221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92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25.9" customHeight="1" x14ac:dyDescent="0.25">
      <c r="A55" s="28" t="s">
        <v>76</v>
      </c>
      <c r="B55" s="16" t="s">
        <v>77</v>
      </c>
      <c r="C55" s="17" t="s">
        <v>302</v>
      </c>
      <c r="D55" s="50">
        <f>15000+30000</f>
        <v>45000</v>
      </c>
      <c r="E55" s="60">
        <v>10000</v>
      </c>
      <c r="F55" s="84">
        <f t="shared" si="0"/>
        <v>0.22222222222222221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92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28.9" customHeight="1" x14ac:dyDescent="0.25">
      <c r="A56" s="90" t="s">
        <v>431</v>
      </c>
      <c r="B56" s="16" t="s">
        <v>5</v>
      </c>
      <c r="C56" s="72" t="s">
        <v>505</v>
      </c>
      <c r="D56" s="50">
        <f t="shared" ref="D56:E58" si="8">+D57</f>
        <v>0</v>
      </c>
      <c r="E56" s="60">
        <f t="shared" si="8"/>
        <v>0.91</v>
      </c>
      <c r="F56" s="84">
        <v>0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92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28.9" customHeight="1" x14ac:dyDescent="0.25">
      <c r="A57" s="90" t="s">
        <v>432</v>
      </c>
      <c r="B57" s="16" t="s">
        <v>5</v>
      </c>
      <c r="C57" s="72" t="s">
        <v>435</v>
      </c>
      <c r="D57" s="50">
        <f t="shared" si="8"/>
        <v>0</v>
      </c>
      <c r="E57" s="60">
        <f t="shared" si="8"/>
        <v>0.91</v>
      </c>
      <c r="F57" s="84">
        <v>0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92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42" customHeight="1" x14ac:dyDescent="0.25">
      <c r="A58" s="90" t="s">
        <v>433</v>
      </c>
      <c r="B58" s="16" t="s">
        <v>5</v>
      </c>
      <c r="C58" s="72" t="s">
        <v>487</v>
      </c>
      <c r="D58" s="50">
        <f t="shared" si="8"/>
        <v>0</v>
      </c>
      <c r="E58" s="60">
        <f t="shared" si="8"/>
        <v>0.91</v>
      </c>
      <c r="F58" s="84">
        <v>0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92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55.15" customHeight="1" x14ac:dyDescent="0.25">
      <c r="A59" s="90" t="s">
        <v>434</v>
      </c>
      <c r="B59" s="16" t="s">
        <v>12</v>
      </c>
      <c r="C59" s="72" t="s">
        <v>436</v>
      </c>
      <c r="D59" s="50">
        <v>0</v>
      </c>
      <c r="E59" s="114">
        <v>0.91</v>
      </c>
      <c r="F59" s="84">
        <v>0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92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23" customFormat="1" ht="43.9" customHeight="1" x14ac:dyDescent="0.2">
      <c r="A60" s="49" t="s">
        <v>80</v>
      </c>
      <c r="B60" s="16" t="s">
        <v>5</v>
      </c>
      <c r="C60" s="17" t="s">
        <v>81</v>
      </c>
      <c r="D60" s="50">
        <f>+D61+D78+D81+D71</f>
        <v>95356374</v>
      </c>
      <c r="E60" s="50">
        <f>+E61+E78+E81+E71</f>
        <v>78788944.589999989</v>
      </c>
      <c r="F60" s="84">
        <f t="shared" si="0"/>
        <v>0.82625776636599024</v>
      </c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3"/>
      <c r="U60" s="3"/>
      <c r="V60" s="92"/>
      <c r="W60" s="3"/>
      <c r="X60" s="3"/>
      <c r="Y60" s="22"/>
      <c r="Z60" s="22"/>
      <c r="AC60" s="21"/>
      <c r="AD60" s="21"/>
      <c r="AE60" s="21"/>
      <c r="AF60" s="21"/>
      <c r="AG60" s="21"/>
      <c r="AH60" s="21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BM60" s="22"/>
      <c r="BN60" s="22"/>
    </row>
    <row r="61" spans="1:66" s="4" customFormat="1" ht="69.599999999999994" customHeight="1" x14ac:dyDescent="0.25">
      <c r="A61" s="48" t="s">
        <v>82</v>
      </c>
      <c r="B61" s="58" t="s">
        <v>5</v>
      </c>
      <c r="C61" s="59" t="s">
        <v>83</v>
      </c>
      <c r="D61" s="60">
        <f>D62+D65+D68</f>
        <v>76523808</v>
      </c>
      <c r="E61" s="60">
        <f t="shared" ref="E61" si="9">E62+E65+E68</f>
        <v>64589618.539999999</v>
      </c>
      <c r="F61" s="84">
        <f t="shared" si="0"/>
        <v>0.84404605871155813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92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57" customHeight="1" x14ac:dyDescent="0.25">
      <c r="A62" s="48" t="s">
        <v>84</v>
      </c>
      <c r="B62" s="58" t="s">
        <v>5</v>
      </c>
      <c r="C62" s="59" t="s">
        <v>85</v>
      </c>
      <c r="D62" s="60">
        <f t="shared" ref="D62:E63" si="10">+D63</f>
        <v>60093901</v>
      </c>
      <c r="E62" s="60">
        <f t="shared" si="10"/>
        <v>53877042.509999998</v>
      </c>
      <c r="F62" s="84">
        <f t="shared" si="0"/>
        <v>0.8965475965689097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92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69" customHeight="1" x14ac:dyDescent="0.25">
      <c r="A63" s="48" t="s">
        <v>86</v>
      </c>
      <c r="B63" s="58" t="s">
        <v>5</v>
      </c>
      <c r="C63" s="59" t="s">
        <v>87</v>
      </c>
      <c r="D63" s="60">
        <f t="shared" si="10"/>
        <v>60093901</v>
      </c>
      <c r="E63" s="60">
        <f t="shared" si="10"/>
        <v>53877042.509999998</v>
      </c>
      <c r="F63" s="84">
        <f t="shared" si="0"/>
        <v>0.8965475965689097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92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73.150000000000006" customHeight="1" x14ac:dyDescent="0.25">
      <c r="A64" s="48" t="s">
        <v>304</v>
      </c>
      <c r="B64" s="58" t="s">
        <v>77</v>
      </c>
      <c r="C64" s="59" t="s">
        <v>303</v>
      </c>
      <c r="D64" s="60">
        <v>60093901</v>
      </c>
      <c r="E64" s="114">
        <v>53877042.509999998</v>
      </c>
      <c r="F64" s="84">
        <f t="shared" si="0"/>
        <v>0.8965475965689097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92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70.900000000000006" customHeight="1" x14ac:dyDescent="0.25">
      <c r="A65" s="48" t="s">
        <v>88</v>
      </c>
      <c r="B65" s="58" t="s">
        <v>5</v>
      </c>
      <c r="C65" s="59" t="s">
        <v>89</v>
      </c>
      <c r="D65" s="60">
        <f t="shared" ref="D65:E65" si="11">+D66</f>
        <v>11258652</v>
      </c>
      <c r="E65" s="60">
        <f t="shared" si="11"/>
        <v>6920760.0099999998</v>
      </c>
      <c r="F65" s="84">
        <f t="shared" si="0"/>
        <v>0.61470591772443095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92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69" customHeight="1" x14ac:dyDescent="0.25">
      <c r="A66" s="48" t="s">
        <v>90</v>
      </c>
      <c r="B66" s="58" t="s">
        <v>5</v>
      </c>
      <c r="C66" s="59" t="s">
        <v>91</v>
      </c>
      <c r="D66" s="60">
        <f>+D67</f>
        <v>11258652</v>
      </c>
      <c r="E66" s="60">
        <f>+E67</f>
        <v>6920760.0099999998</v>
      </c>
      <c r="F66" s="84">
        <f t="shared" si="0"/>
        <v>0.61470591772443095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92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69.599999999999994" customHeight="1" x14ac:dyDescent="0.25">
      <c r="A67" s="48" t="s">
        <v>306</v>
      </c>
      <c r="B67" s="58" t="s">
        <v>77</v>
      </c>
      <c r="C67" s="59" t="s">
        <v>305</v>
      </c>
      <c r="D67" s="60">
        <f>9012052+2246600</f>
        <v>11258652</v>
      </c>
      <c r="E67" s="114">
        <v>6920760.0099999998</v>
      </c>
      <c r="F67" s="84">
        <f t="shared" si="0"/>
        <v>0.61470591772443095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92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42" customHeight="1" x14ac:dyDescent="0.25">
      <c r="A68" s="48" t="s">
        <v>92</v>
      </c>
      <c r="B68" s="58" t="s">
        <v>5</v>
      </c>
      <c r="C68" s="59" t="s">
        <v>93</v>
      </c>
      <c r="D68" s="60">
        <f>+D69</f>
        <v>5171255</v>
      </c>
      <c r="E68" s="60">
        <f t="shared" ref="D68:E69" si="12">+E69</f>
        <v>3791816.02</v>
      </c>
      <c r="F68" s="84">
        <f t="shared" si="0"/>
        <v>0.73324870268435804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92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28.9" customHeight="1" x14ac:dyDescent="0.25">
      <c r="A69" s="48" t="s">
        <v>94</v>
      </c>
      <c r="B69" s="58" t="s">
        <v>5</v>
      </c>
      <c r="C69" s="59" t="s">
        <v>95</v>
      </c>
      <c r="D69" s="60">
        <f t="shared" si="12"/>
        <v>5171255</v>
      </c>
      <c r="E69" s="60">
        <f>+E70</f>
        <v>3791816.02</v>
      </c>
      <c r="F69" s="84">
        <f t="shared" si="0"/>
        <v>0.73324870268435804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92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38.25" x14ac:dyDescent="0.25">
      <c r="A70" s="48" t="s">
        <v>308</v>
      </c>
      <c r="B70" s="58" t="s">
        <v>77</v>
      </c>
      <c r="C70" s="59" t="s">
        <v>307</v>
      </c>
      <c r="D70" s="60">
        <f>5502231-330976</f>
        <v>5171255</v>
      </c>
      <c r="E70" s="114">
        <v>3791816.02</v>
      </c>
      <c r="F70" s="84">
        <f t="shared" si="0"/>
        <v>0.73324870268435804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92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58.9" customHeight="1" x14ac:dyDescent="0.25">
      <c r="A71" s="90" t="s">
        <v>437</v>
      </c>
      <c r="B71" s="58" t="s">
        <v>5</v>
      </c>
      <c r="C71" s="72" t="s">
        <v>440</v>
      </c>
      <c r="D71" s="60">
        <f>+D72+D75</f>
        <v>119029</v>
      </c>
      <c r="E71" s="60">
        <f>+E72+E75</f>
        <v>339626.74</v>
      </c>
      <c r="F71" s="84" t="s">
        <v>563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92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56.45" customHeight="1" x14ac:dyDescent="0.25">
      <c r="A72" s="90" t="s">
        <v>438</v>
      </c>
      <c r="B72" s="58" t="s">
        <v>5</v>
      </c>
      <c r="C72" s="72" t="s">
        <v>441</v>
      </c>
      <c r="D72" s="60">
        <f>+D73</f>
        <v>118000</v>
      </c>
      <c r="E72" s="60">
        <f>+E73</f>
        <v>338597.74</v>
      </c>
      <c r="F72" s="84" t="s">
        <v>563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92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136.9" customHeight="1" x14ac:dyDescent="0.25">
      <c r="A73" s="90" t="s">
        <v>439</v>
      </c>
      <c r="B73" s="58" t="s">
        <v>5</v>
      </c>
      <c r="C73" s="72" t="s">
        <v>442</v>
      </c>
      <c r="D73" s="60">
        <f>+D74</f>
        <v>118000</v>
      </c>
      <c r="E73" s="60">
        <f>+E74</f>
        <v>338597.74</v>
      </c>
      <c r="F73" s="84" t="s">
        <v>563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20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140.25" x14ac:dyDescent="0.25">
      <c r="A74" s="90" t="s">
        <v>439</v>
      </c>
      <c r="B74" s="58" t="s">
        <v>77</v>
      </c>
      <c r="C74" s="72" t="s">
        <v>442</v>
      </c>
      <c r="D74" s="60">
        <v>118000</v>
      </c>
      <c r="E74" s="114">
        <v>338597.74</v>
      </c>
      <c r="F74" s="84" t="s">
        <v>563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92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51.75" x14ac:dyDescent="0.25">
      <c r="A75" s="95" t="s">
        <v>490</v>
      </c>
      <c r="B75" s="58" t="s">
        <v>5</v>
      </c>
      <c r="C75" s="72" t="s">
        <v>488</v>
      </c>
      <c r="D75" s="60">
        <f>+D76</f>
        <v>1029</v>
      </c>
      <c r="E75" s="60">
        <f>+E76</f>
        <v>1029</v>
      </c>
      <c r="F75" s="84">
        <f t="shared" ref="F75:F136" si="13">+E75/D75</f>
        <v>1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92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6"/>
      <c r="AS75" s="6"/>
      <c r="AT75" s="3"/>
      <c r="AU75" s="3"/>
      <c r="AV75" s="3"/>
      <c r="AW75" s="3"/>
      <c r="BM75" s="3"/>
      <c r="BN75" s="3"/>
    </row>
    <row r="76" spans="1:66" s="4" customFormat="1" ht="122.45" customHeight="1" x14ac:dyDescent="0.25">
      <c r="A76" s="95" t="s">
        <v>491</v>
      </c>
      <c r="B76" s="58" t="s">
        <v>5</v>
      </c>
      <c r="C76" s="72" t="s">
        <v>489</v>
      </c>
      <c r="D76" s="60">
        <f>+D77</f>
        <v>1029</v>
      </c>
      <c r="E76" s="60">
        <f>+E77</f>
        <v>1029</v>
      </c>
      <c r="F76" s="84">
        <f t="shared" si="13"/>
        <v>1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20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6"/>
      <c r="AS76" s="6"/>
      <c r="AT76" s="3"/>
      <c r="AU76" s="3"/>
      <c r="AV76" s="3"/>
      <c r="AW76" s="3"/>
      <c r="BM76" s="3"/>
      <c r="BN76" s="3"/>
    </row>
    <row r="77" spans="1:66" s="4" customFormat="1" ht="115.5" x14ac:dyDescent="0.25">
      <c r="A77" s="95" t="s">
        <v>491</v>
      </c>
      <c r="B77" s="58" t="s">
        <v>77</v>
      </c>
      <c r="C77" s="72" t="s">
        <v>489</v>
      </c>
      <c r="D77" s="60">
        <v>1029</v>
      </c>
      <c r="E77" s="114">
        <v>1029</v>
      </c>
      <c r="F77" s="84">
        <f t="shared" si="13"/>
        <v>1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92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6"/>
      <c r="AS77" s="6"/>
      <c r="AT77" s="3"/>
      <c r="AU77" s="3"/>
      <c r="AV77" s="3"/>
      <c r="AW77" s="3"/>
      <c r="BM77" s="3"/>
      <c r="BN77" s="3"/>
    </row>
    <row r="78" spans="1:66" s="4" customFormat="1" ht="27.6" customHeight="1" x14ac:dyDescent="0.25">
      <c r="A78" s="48" t="s">
        <v>96</v>
      </c>
      <c r="B78" s="58" t="s">
        <v>5</v>
      </c>
      <c r="C78" s="59" t="s">
        <v>97</v>
      </c>
      <c r="D78" s="60">
        <f>+D79</f>
        <v>320424</v>
      </c>
      <c r="E78" s="60">
        <f t="shared" ref="D78:E79" si="14">+E79</f>
        <v>365624</v>
      </c>
      <c r="F78" s="84">
        <f t="shared" si="13"/>
        <v>1.14106309140389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92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6"/>
      <c r="AS78" s="6"/>
      <c r="AT78" s="3"/>
      <c r="AU78" s="3"/>
      <c r="AV78" s="3"/>
      <c r="AW78" s="3"/>
      <c r="BM78" s="3"/>
      <c r="BN78" s="3"/>
    </row>
    <row r="79" spans="1:66" s="4" customFormat="1" ht="40.9" customHeight="1" x14ac:dyDescent="0.25">
      <c r="A79" s="48" t="s">
        <v>98</v>
      </c>
      <c r="B79" s="58" t="s">
        <v>5</v>
      </c>
      <c r="C79" s="59" t="s">
        <v>99</v>
      </c>
      <c r="D79" s="60">
        <f t="shared" si="14"/>
        <v>320424</v>
      </c>
      <c r="E79" s="60">
        <f t="shared" si="14"/>
        <v>365624</v>
      </c>
      <c r="F79" s="84">
        <f t="shared" si="13"/>
        <v>1.14106309140389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92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6"/>
      <c r="AS79" s="6"/>
      <c r="AT79" s="3"/>
      <c r="AU79" s="3"/>
      <c r="AV79" s="3"/>
      <c r="AW79" s="3"/>
      <c r="BM79" s="3"/>
      <c r="BN79" s="3"/>
    </row>
    <row r="80" spans="1:66" s="4" customFormat="1" ht="43.15" customHeight="1" x14ac:dyDescent="0.25">
      <c r="A80" s="48" t="s">
        <v>100</v>
      </c>
      <c r="B80" s="58" t="s">
        <v>77</v>
      </c>
      <c r="C80" s="59" t="s">
        <v>101</v>
      </c>
      <c r="D80" s="60">
        <v>320424</v>
      </c>
      <c r="E80" s="114">
        <v>365624</v>
      </c>
      <c r="F80" s="84">
        <f t="shared" si="13"/>
        <v>1.14106309140389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92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6"/>
      <c r="AS80" s="6"/>
      <c r="AT80" s="3"/>
      <c r="AU80" s="3"/>
      <c r="AV80" s="3"/>
      <c r="AW80" s="3"/>
      <c r="BM80" s="3"/>
      <c r="BN80" s="3"/>
    </row>
    <row r="81" spans="1:66" s="4" customFormat="1" ht="70.150000000000006" customHeight="1" x14ac:dyDescent="0.25">
      <c r="A81" s="48" t="s">
        <v>102</v>
      </c>
      <c r="B81" s="58" t="s">
        <v>5</v>
      </c>
      <c r="C81" s="59" t="s">
        <v>103</v>
      </c>
      <c r="D81" s="60">
        <f>+D82+D87</f>
        <v>18393113</v>
      </c>
      <c r="E81" s="50">
        <f>+E82+E87</f>
        <v>13494075.310000002</v>
      </c>
      <c r="F81" s="84">
        <f t="shared" si="13"/>
        <v>0.73364825791044741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92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6"/>
      <c r="AS81" s="6"/>
      <c r="AT81" s="3"/>
      <c r="AU81" s="3"/>
      <c r="AV81" s="3"/>
      <c r="AW81" s="3"/>
      <c r="BM81" s="3"/>
      <c r="BN81" s="3"/>
    </row>
    <row r="82" spans="1:66" s="4" customFormat="1" ht="69" customHeight="1" x14ac:dyDescent="0.25">
      <c r="A82" s="48" t="s">
        <v>104</v>
      </c>
      <c r="B82" s="58" t="s">
        <v>5</v>
      </c>
      <c r="C82" s="61" t="s">
        <v>105</v>
      </c>
      <c r="D82" s="60">
        <f>+D83</f>
        <v>7500000</v>
      </c>
      <c r="E82" s="60">
        <f t="shared" ref="E82:E83" si="15">+E83</f>
        <v>4691512.62</v>
      </c>
      <c r="F82" s="84">
        <f t="shared" si="13"/>
        <v>0.62553501600000005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92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6"/>
      <c r="AS82" s="6"/>
      <c r="AT82" s="3"/>
      <c r="AU82" s="3"/>
      <c r="AV82" s="3"/>
      <c r="AW82" s="3"/>
      <c r="BM82" s="3"/>
      <c r="BN82" s="3"/>
    </row>
    <row r="83" spans="1:66" s="4" customFormat="1" ht="68.45" customHeight="1" x14ac:dyDescent="0.25">
      <c r="A83" s="48" t="s">
        <v>106</v>
      </c>
      <c r="B83" s="58" t="s">
        <v>5</v>
      </c>
      <c r="C83" s="59" t="s">
        <v>107</v>
      </c>
      <c r="D83" s="60">
        <f>+D84</f>
        <v>7500000</v>
      </c>
      <c r="E83" s="60">
        <f t="shared" si="15"/>
        <v>4691512.62</v>
      </c>
      <c r="F83" s="84">
        <f t="shared" si="13"/>
        <v>0.62553501600000005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92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6"/>
      <c r="AS83" s="6"/>
      <c r="AT83" s="3"/>
      <c r="AU83" s="3"/>
      <c r="AV83" s="3"/>
      <c r="AW83" s="3"/>
      <c r="BM83" s="3"/>
      <c r="BN83" s="3"/>
    </row>
    <row r="84" spans="1:66" s="4" customFormat="1" ht="82.15" customHeight="1" x14ac:dyDescent="0.2">
      <c r="A84" s="65" t="s">
        <v>108</v>
      </c>
      <c r="B84" s="58" t="s">
        <v>5</v>
      </c>
      <c r="C84" s="59" t="s">
        <v>109</v>
      </c>
      <c r="D84" s="60">
        <f>+D85+D86</f>
        <v>7500000</v>
      </c>
      <c r="E84" s="60">
        <f>+E85+E86</f>
        <v>4691512.62</v>
      </c>
      <c r="F84" s="84">
        <f t="shared" si="13"/>
        <v>0.62553501600000005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92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79.900000000000006" customHeight="1" x14ac:dyDescent="0.2">
      <c r="A85" s="65" t="s">
        <v>110</v>
      </c>
      <c r="B85" s="58" t="s">
        <v>79</v>
      </c>
      <c r="C85" s="59" t="s">
        <v>111</v>
      </c>
      <c r="D85" s="60">
        <v>7000000</v>
      </c>
      <c r="E85" s="135">
        <v>4340552.59</v>
      </c>
      <c r="F85" s="84">
        <f t="shared" si="13"/>
        <v>0.62007894142857145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92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84" customHeight="1" x14ac:dyDescent="0.2">
      <c r="A86" s="65" t="s">
        <v>112</v>
      </c>
      <c r="B86" s="58" t="s">
        <v>79</v>
      </c>
      <c r="C86" s="59" t="s">
        <v>113</v>
      </c>
      <c r="D86" s="60">
        <f>350000+150000</f>
        <v>500000</v>
      </c>
      <c r="E86" s="135">
        <v>350960.03</v>
      </c>
      <c r="F86" s="84">
        <f t="shared" si="13"/>
        <v>0.70192006000000007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92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BM86" s="3"/>
      <c r="BN86" s="3"/>
    </row>
    <row r="87" spans="1:66" s="4" customFormat="1" ht="93.6" customHeight="1" x14ac:dyDescent="0.2">
      <c r="A87" s="66" t="s">
        <v>291</v>
      </c>
      <c r="B87" s="16" t="s">
        <v>5</v>
      </c>
      <c r="C87" s="17" t="s">
        <v>290</v>
      </c>
      <c r="D87" s="50">
        <f>+D88</f>
        <v>10893113</v>
      </c>
      <c r="E87" s="60">
        <f>+E88</f>
        <v>8802562.6900000013</v>
      </c>
      <c r="F87" s="84">
        <f t="shared" si="13"/>
        <v>0.80808513507571267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92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BM87" s="3"/>
      <c r="BN87" s="3"/>
    </row>
    <row r="88" spans="1:66" s="4" customFormat="1" ht="81.599999999999994" customHeight="1" x14ac:dyDescent="0.2">
      <c r="A88" s="66" t="s">
        <v>292</v>
      </c>
      <c r="B88" s="16" t="s">
        <v>5</v>
      </c>
      <c r="C88" s="17" t="s">
        <v>309</v>
      </c>
      <c r="D88" s="50">
        <f>+D89+D93+D96</f>
        <v>10893113</v>
      </c>
      <c r="E88" s="50">
        <f>+E89+E93+E96</f>
        <v>8802562.6900000013</v>
      </c>
      <c r="F88" s="84">
        <f t="shared" si="13"/>
        <v>0.80808513507571267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92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BM88" s="3"/>
      <c r="BN88" s="3"/>
    </row>
    <row r="89" spans="1:66" s="4" customFormat="1" ht="82.9" customHeight="1" x14ac:dyDescent="0.2">
      <c r="A89" s="66" t="s">
        <v>292</v>
      </c>
      <c r="B89" s="16" t="s">
        <v>5</v>
      </c>
      <c r="C89" s="17" t="s">
        <v>295</v>
      </c>
      <c r="D89" s="50">
        <f>+D90+D91+D92</f>
        <v>5897114</v>
      </c>
      <c r="E89" s="50">
        <f>+E90+E91+E92</f>
        <v>4350628.7300000004</v>
      </c>
      <c r="F89" s="84">
        <f t="shared" si="13"/>
        <v>0.73775557501516853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92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BM89" s="3"/>
      <c r="BN89" s="3"/>
    </row>
    <row r="90" spans="1:66" s="4" customFormat="1" ht="94.9" customHeight="1" x14ac:dyDescent="0.2">
      <c r="A90" s="28" t="s">
        <v>336</v>
      </c>
      <c r="B90" s="16" t="s">
        <v>77</v>
      </c>
      <c r="C90" s="17" t="s">
        <v>293</v>
      </c>
      <c r="D90" s="50">
        <f>6468845-571731</f>
        <v>5897114</v>
      </c>
      <c r="E90" s="135">
        <v>4313229.38</v>
      </c>
      <c r="F90" s="84">
        <f t="shared" si="13"/>
        <v>0.73141359994058108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92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BM90" s="3"/>
      <c r="BN90" s="3"/>
    </row>
    <row r="91" spans="1:66" s="4" customFormat="1" ht="110.45" customHeight="1" x14ac:dyDescent="0.2">
      <c r="A91" s="77" t="s">
        <v>443</v>
      </c>
      <c r="B91" s="16" t="s">
        <v>77</v>
      </c>
      <c r="C91" s="81" t="s">
        <v>445</v>
      </c>
      <c r="D91" s="50">
        <v>0</v>
      </c>
      <c r="E91" s="135">
        <v>9198.15</v>
      </c>
      <c r="F91" s="84">
        <v>0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92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BM91" s="3"/>
      <c r="BN91" s="3"/>
    </row>
    <row r="92" spans="1:66" s="4" customFormat="1" ht="124.15" customHeight="1" x14ac:dyDescent="0.2">
      <c r="A92" s="48" t="s">
        <v>522</v>
      </c>
      <c r="B92" s="16" t="s">
        <v>77</v>
      </c>
      <c r="C92" s="81" t="s">
        <v>523</v>
      </c>
      <c r="D92" s="50">
        <v>0</v>
      </c>
      <c r="E92" s="135">
        <v>28201.200000000001</v>
      </c>
      <c r="F92" s="84">
        <v>0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121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BM92" s="3"/>
      <c r="BN92" s="3"/>
    </row>
    <row r="93" spans="1:66" s="4" customFormat="1" ht="81" customHeight="1" x14ac:dyDescent="0.2">
      <c r="A93" s="66" t="s">
        <v>292</v>
      </c>
      <c r="B93" s="16" t="s">
        <v>5</v>
      </c>
      <c r="C93" s="17" t="s">
        <v>296</v>
      </c>
      <c r="D93" s="50">
        <f>+D94+D95</f>
        <v>2292979</v>
      </c>
      <c r="E93" s="60">
        <f>+E94+E95</f>
        <v>1551818.75</v>
      </c>
      <c r="F93" s="84">
        <f t="shared" si="13"/>
        <v>0.67676971747233616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92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BM93" s="3"/>
      <c r="BN93" s="3"/>
    </row>
    <row r="94" spans="1:66" s="4" customFormat="1" ht="121.9" customHeight="1" x14ac:dyDescent="0.2">
      <c r="A94" s="28" t="s">
        <v>325</v>
      </c>
      <c r="B94" s="16" t="s">
        <v>77</v>
      </c>
      <c r="C94" s="17" t="s">
        <v>294</v>
      </c>
      <c r="D94" s="50">
        <f>2350359-57380</f>
        <v>2292979</v>
      </c>
      <c r="E94" s="135">
        <v>1549395.51</v>
      </c>
      <c r="F94" s="84">
        <f t="shared" si="13"/>
        <v>0.67571290884042112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92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BM94" s="3"/>
      <c r="BN94" s="3"/>
    </row>
    <row r="95" spans="1:66" s="4" customFormat="1" ht="121.15" customHeight="1" x14ac:dyDescent="0.2">
      <c r="A95" s="77" t="s">
        <v>444</v>
      </c>
      <c r="B95" s="16" t="s">
        <v>77</v>
      </c>
      <c r="C95" s="81" t="s">
        <v>446</v>
      </c>
      <c r="D95" s="50">
        <v>0</v>
      </c>
      <c r="E95" s="135">
        <v>2423.2399999999998</v>
      </c>
      <c r="F95" s="84">
        <v>0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92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BM95" s="3"/>
      <c r="BN95" s="3"/>
    </row>
    <row r="96" spans="1:66" s="4" customFormat="1" ht="82.15" customHeight="1" x14ac:dyDescent="0.2">
      <c r="A96" s="28" t="s">
        <v>292</v>
      </c>
      <c r="B96" s="16" t="s">
        <v>5</v>
      </c>
      <c r="C96" s="57" t="s">
        <v>297</v>
      </c>
      <c r="D96" s="50">
        <f>+D97+D98</f>
        <v>2703020</v>
      </c>
      <c r="E96" s="60">
        <f>+E97+E98</f>
        <v>2900115.21</v>
      </c>
      <c r="F96" s="84">
        <f t="shared" si="13"/>
        <v>1.0729166672832608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92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BM96" s="3"/>
      <c r="BN96" s="3"/>
    </row>
    <row r="97" spans="1:66" s="4" customFormat="1" ht="96.6" customHeight="1" x14ac:dyDescent="0.2">
      <c r="A97" s="28" t="s">
        <v>326</v>
      </c>
      <c r="B97" s="16" t="s">
        <v>77</v>
      </c>
      <c r="C97" s="57" t="s">
        <v>298</v>
      </c>
      <c r="D97" s="50">
        <f>2391394+311626</f>
        <v>2703020</v>
      </c>
      <c r="E97" s="135">
        <v>2892528.45</v>
      </c>
      <c r="F97" s="84">
        <f t="shared" si="13"/>
        <v>1.0701098955982569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92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BM97" s="3"/>
      <c r="BN97" s="3"/>
    </row>
    <row r="98" spans="1:66" s="4" customFormat="1" ht="126.6" customHeight="1" x14ac:dyDescent="0.2">
      <c r="A98" s="77" t="s">
        <v>444</v>
      </c>
      <c r="B98" s="16" t="s">
        <v>77</v>
      </c>
      <c r="C98" s="81" t="s">
        <v>447</v>
      </c>
      <c r="D98" s="50">
        <v>0</v>
      </c>
      <c r="E98" s="135">
        <v>7586.76</v>
      </c>
      <c r="F98" s="84">
        <v>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92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BM98" s="3"/>
      <c r="BN98" s="3"/>
    </row>
    <row r="99" spans="1:66" s="4" customFormat="1" ht="25.9" customHeight="1" x14ac:dyDescent="0.25">
      <c r="A99" s="49" t="s">
        <v>114</v>
      </c>
      <c r="B99" s="16" t="s">
        <v>5</v>
      </c>
      <c r="C99" s="17" t="s">
        <v>115</v>
      </c>
      <c r="D99" s="50">
        <f>+D100+D106</f>
        <v>34396866.5</v>
      </c>
      <c r="E99" s="60">
        <f>+E100+E106</f>
        <v>13889549.340000002</v>
      </c>
      <c r="F99" s="84">
        <f t="shared" si="13"/>
        <v>0.40380275162564594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92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ht="15.6" customHeight="1" x14ac:dyDescent="0.25">
      <c r="A100" s="28" t="s">
        <v>116</v>
      </c>
      <c r="B100" s="16" t="s">
        <v>5</v>
      </c>
      <c r="C100" s="17" t="s">
        <v>117</v>
      </c>
      <c r="D100" s="62">
        <f>+D101+D102+D103</f>
        <v>33927360.5</v>
      </c>
      <c r="E100" s="115">
        <f>+E101+E102+E103</f>
        <v>13534494.040000001</v>
      </c>
      <c r="F100" s="84">
        <f t="shared" si="13"/>
        <v>0.3989256411503041</v>
      </c>
      <c r="G100" s="3"/>
      <c r="H100" s="3"/>
      <c r="I100" s="3"/>
      <c r="J100" s="3"/>
      <c r="K100" s="3"/>
      <c r="L100" s="141"/>
      <c r="M100" s="3"/>
      <c r="N100" s="3"/>
      <c r="O100" s="3"/>
      <c r="P100" s="3"/>
      <c r="Q100" s="3"/>
      <c r="R100" s="3"/>
      <c r="S100" s="3"/>
      <c r="T100" s="3"/>
      <c r="U100" s="3"/>
      <c r="V100" s="92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151"/>
      <c r="AN100" s="3"/>
      <c r="AO100" s="3"/>
      <c r="AP100" s="3"/>
      <c r="AQ100" s="3"/>
      <c r="AR100" s="141"/>
      <c r="AS100" s="6"/>
      <c r="AT100" s="3"/>
      <c r="AU100" s="3"/>
      <c r="AV100" s="3"/>
      <c r="AW100" s="3"/>
      <c r="BM100" s="3"/>
      <c r="BN100" s="3"/>
    </row>
    <row r="101" spans="1:66" s="4" customFormat="1" ht="28.15" customHeight="1" x14ac:dyDescent="0.25">
      <c r="A101" s="28" t="s">
        <v>327</v>
      </c>
      <c r="B101" s="16" t="s">
        <v>118</v>
      </c>
      <c r="C101" s="17" t="s">
        <v>119</v>
      </c>
      <c r="D101" s="50">
        <v>2689692.87</v>
      </c>
      <c r="E101" s="114">
        <v>2012666.15</v>
      </c>
      <c r="F101" s="84">
        <f t="shared" si="13"/>
        <v>0.74828846536667948</v>
      </c>
      <c r="G101" s="3"/>
      <c r="H101" s="25"/>
      <c r="I101" s="25"/>
      <c r="J101" s="25"/>
      <c r="K101" s="25"/>
      <c r="L101" s="141"/>
      <c r="M101" s="3"/>
      <c r="N101" s="3"/>
      <c r="O101" s="3"/>
      <c r="P101" s="3"/>
      <c r="Q101" s="3"/>
      <c r="R101" s="3"/>
      <c r="S101" s="3"/>
      <c r="T101" s="3"/>
      <c r="U101" s="3"/>
      <c r="V101" s="92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151"/>
      <c r="AN101" s="25"/>
      <c r="AO101" s="25"/>
      <c r="AP101" s="25"/>
      <c r="AQ101" s="25"/>
      <c r="AR101" s="141"/>
      <c r="AS101" s="6"/>
      <c r="AT101" s="3"/>
      <c r="AU101" s="3"/>
      <c r="AV101" s="3"/>
      <c r="AW101" s="3"/>
      <c r="BM101" s="52"/>
      <c r="BN101" s="3"/>
    </row>
    <row r="102" spans="1:66" s="4" customFormat="1" ht="15.6" customHeight="1" x14ac:dyDescent="0.25">
      <c r="A102" s="28" t="s">
        <v>120</v>
      </c>
      <c r="B102" s="16" t="s">
        <v>118</v>
      </c>
      <c r="C102" s="17" t="s">
        <v>121</v>
      </c>
      <c r="D102" s="50">
        <v>27893667.629999999</v>
      </c>
      <c r="E102" s="114">
        <v>10684203.08</v>
      </c>
      <c r="F102" s="84">
        <f t="shared" si="13"/>
        <v>0.38303328274081111</v>
      </c>
      <c r="G102" s="3"/>
      <c r="H102" s="25"/>
      <c r="I102" s="25"/>
      <c r="J102" s="25"/>
      <c r="K102" s="25"/>
      <c r="L102" s="141"/>
      <c r="M102" s="3"/>
      <c r="N102" s="3"/>
      <c r="O102" s="3"/>
      <c r="P102" s="3"/>
      <c r="Q102" s="3"/>
      <c r="R102" s="3"/>
      <c r="S102" s="3"/>
      <c r="T102" s="3"/>
      <c r="U102" s="3"/>
      <c r="V102" s="92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151"/>
      <c r="AN102" s="25"/>
      <c r="AO102" s="25"/>
      <c r="AP102" s="25"/>
      <c r="AQ102" s="25"/>
      <c r="AR102" s="141"/>
      <c r="AS102" s="6"/>
      <c r="AT102" s="3"/>
      <c r="AU102" s="3"/>
      <c r="AV102" s="3"/>
      <c r="AW102" s="3"/>
      <c r="BM102" s="52"/>
      <c r="BN102" s="3"/>
    </row>
    <row r="103" spans="1:66" s="4" customFormat="1" ht="17.45" customHeight="1" x14ac:dyDescent="0.25">
      <c r="A103" s="28" t="s">
        <v>122</v>
      </c>
      <c r="B103" s="16" t="s">
        <v>5</v>
      </c>
      <c r="C103" s="17" t="s">
        <v>123</v>
      </c>
      <c r="D103" s="50">
        <f>+D104+D105</f>
        <v>3344000</v>
      </c>
      <c r="E103" s="50">
        <f>+E104+E105</f>
        <v>837624.80999999994</v>
      </c>
      <c r="F103" s="84">
        <f t="shared" si="13"/>
        <v>0.25048588815789474</v>
      </c>
      <c r="G103" s="3"/>
      <c r="H103" s="25"/>
      <c r="I103" s="25"/>
      <c r="J103" s="25"/>
      <c r="K103" s="25"/>
      <c r="L103" s="141"/>
      <c r="M103" s="3"/>
      <c r="N103" s="3"/>
      <c r="O103" s="3"/>
      <c r="P103" s="3"/>
      <c r="Q103" s="3"/>
      <c r="R103" s="3"/>
      <c r="S103" s="3"/>
      <c r="T103" s="3"/>
      <c r="U103" s="3"/>
      <c r="V103" s="92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151"/>
      <c r="AN103" s="25"/>
      <c r="AO103" s="25"/>
      <c r="AP103" s="25"/>
      <c r="AQ103" s="25"/>
      <c r="AR103" s="141"/>
      <c r="AS103" s="6"/>
      <c r="AT103" s="3"/>
      <c r="AU103" s="3"/>
      <c r="AV103" s="3"/>
      <c r="AW103" s="3"/>
      <c r="BM103" s="3"/>
      <c r="BN103" s="3"/>
    </row>
    <row r="104" spans="1:66" s="4" customFormat="1" ht="16.899999999999999" customHeight="1" x14ac:dyDescent="0.25">
      <c r="A104" s="28" t="s">
        <v>124</v>
      </c>
      <c r="B104" s="16" t="s">
        <v>118</v>
      </c>
      <c r="C104" s="17" t="s">
        <v>125</v>
      </c>
      <c r="D104" s="50">
        <v>3344000</v>
      </c>
      <c r="E104" s="114">
        <v>842896.37</v>
      </c>
      <c r="F104" s="84">
        <f t="shared" si="13"/>
        <v>0.25206231160287079</v>
      </c>
      <c r="G104" s="3"/>
      <c r="H104" s="25"/>
      <c r="I104" s="25"/>
      <c r="J104" s="25"/>
      <c r="K104" s="25"/>
      <c r="L104" s="141"/>
      <c r="M104" s="3"/>
      <c r="N104" s="3"/>
      <c r="O104" s="3"/>
      <c r="P104" s="3"/>
      <c r="Q104" s="3"/>
      <c r="R104" s="3"/>
      <c r="S104" s="3"/>
      <c r="T104" s="3"/>
      <c r="U104" s="3"/>
      <c r="V104" s="92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151"/>
      <c r="AN104" s="25"/>
      <c r="AO104" s="25"/>
      <c r="AP104" s="25"/>
      <c r="AQ104" s="25"/>
      <c r="AR104" s="141"/>
      <c r="AS104" s="6"/>
      <c r="AT104" s="3"/>
      <c r="AU104" s="3"/>
      <c r="AV104" s="3"/>
      <c r="AW104" s="3"/>
      <c r="BM104" s="52"/>
      <c r="BN104" s="3"/>
    </row>
    <row r="105" spans="1:66" s="4" customFormat="1" ht="16.899999999999999" customHeight="1" x14ac:dyDescent="0.25">
      <c r="A105" s="28" t="s">
        <v>503</v>
      </c>
      <c r="B105" s="16" t="s">
        <v>118</v>
      </c>
      <c r="C105" s="17" t="s">
        <v>504</v>
      </c>
      <c r="D105" s="50">
        <v>0</v>
      </c>
      <c r="E105" s="114">
        <v>-5271.56</v>
      </c>
      <c r="F105" s="84">
        <v>0</v>
      </c>
      <c r="G105" s="3"/>
      <c r="H105" s="25"/>
      <c r="I105" s="25"/>
      <c r="J105" s="25"/>
      <c r="K105" s="25"/>
      <c r="L105" s="141"/>
      <c r="M105" s="3"/>
      <c r="N105" s="3"/>
      <c r="O105" s="3"/>
      <c r="P105" s="3"/>
      <c r="Q105" s="3"/>
      <c r="R105" s="3"/>
      <c r="S105" s="3"/>
      <c r="T105" s="3"/>
      <c r="U105" s="3"/>
      <c r="V105" s="113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112"/>
      <c r="AN105" s="25"/>
      <c r="AO105" s="25"/>
      <c r="AP105" s="25"/>
      <c r="AQ105" s="25"/>
      <c r="AR105" s="141"/>
      <c r="AS105" s="6"/>
      <c r="AT105" s="3"/>
      <c r="AU105" s="3"/>
      <c r="AV105" s="3"/>
      <c r="AW105" s="3"/>
      <c r="BM105" s="52"/>
      <c r="BN105" s="3"/>
    </row>
    <row r="106" spans="1:66" s="4" customFormat="1" ht="14.45" customHeight="1" x14ac:dyDescent="0.25">
      <c r="A106" s="28" t="s">
        <v>126</v>
      </c>
      <c r="B106" s="16" t="s">
        <v>5</v>
      </c>
      <c r="C106" s="17" t="s">
        <v>127</v>
      </c>
      <c r="D106" s="50">
        <f t="shared" ref="D106:E106" si="16">+D107</f>
        <v>469506</v>
      </c>
      <c r="E106" s="60">
        <f t="shared" si="16"/>
        <v>355055.3</v>
      </c>
      <c r="F106" s="84">
        <f t="shared" si="13"/>
        <v>0.75623165625146427</v>
      </c>
      <c r="G106" s="3"/>
      <c r="H106" s="25"/>
      <c r="I106" s="25"/>
      <c r="J106" s="25"/>
      <c r="K106" s="25"/>
      <c r="L106" s="141"/>
      <c r="M106" s="3"/>
      <c r="N106" s="3"/>
      <c r="O106" s="3"/>
      <c r="P106" s="3"/>
      <c r="Q106" s="3"/>
      <c r="R106" s="3"/>
      <c r="S106" s="3"/>
      <c r="T106" s="3"/>
      <c r="U106" s="3"/>
      <c r="V106" s="92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25"/>
      <c r="AO106" s="25"/>
      <c r="AP106" s="25"/>
      <c r="AQ106" s="25"/>
      <c r="AR106" s="141"/>
      <c r="AS106" s="6"/>
      <c r="AT106" s="3"/>
      <c r="AU106" s="3"/>
      <c r="AV106" s="3"/>
      <c r="AW106" s="3"/>
      <c r="BM106" s="3"/>
      <c r="BN106" s="3"/>
    </row>
    <row r="107" spans="1:66" s="4" customFormat="1" ht="26.45" customHeight="1" x14ac:dyDescent="0.25">
      <c r="A107" s="28" t="s">
        <v>128</v>
      </c>
      <c r="B107" s="16" t="s">
        <v>5</v>
      </c>
      <c r="C107" s="17" t="s">
        <v>129</v>
      </c>
      <c r="D107" s="50">
        <f>+D108</f>
        <v>469506</v>
      </c>
      <c r="E107" s="60">
        <f>+E108</f>
        <v>355055.3</v>
      </c>
      <c r="F107" s="84">
        <f t="shared" si="13"/>
        <v>0.75623165625146427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92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41.45" customHeight="1" x14ac:dyDescent="0.25">
      <c r="A108" s="28" t="s">
        <v>130</v>
      </c>
      <c r="B108" s="16" t="s">
        <v>77</v>
      </c>
      <c r="C108" s="17" t="s">
        <v>131</v>
      </c>
      <c r="D108" s="50">
        <v>469506</v>
      </c>
      <c r="E108" s="114">
        <v>355055.3</v>
      </c>
      <c r="F108" s="84">
        <f t="shared" si="13"/>
        <v>0.75623165625146427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92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23" customFormat="1" ht="28.15" customHeight="1" x14ac:dyDescent="0.2">
      <c r="A109" s="28" t="s">
        <v>132</v>
      </c>
      <c r="B109" s="16" t="s">
        <v>5</v>
      </c>
      <c r="C109" s="17" t="s">
        <v>133</v>
      </c>
      <c r="D109" s="50">
        <f>+D114+D110</f>
        <v>94461066.099999994</v>
      </c>
      <c r="E109" s="60">
        <f t="shared" ref="E109" si="17">+E114+E110</f>
        <v>96868648.290000007</v>
      </c>
      <c r="F109" s="84">
        <f t="shared" si="13"/>
        <v>1.025487561059826</v>
      </c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3"/>
      <c r="U109" s="3"/>
      <c r="V109" s="92"/>
      <c r="W109" s="3"/>
      <c r="X109" s="3"/>
      <c r="Y109" s="22"/>
      <c r="Z109" s="22"/>
      <c r="AC109" s="21"/>
      <c r="AD109" s="21"/>
      <c r="AE109" s="21"/>
      <c r="AF109" s="21"/>
      <c r="AG109" s="21"/>
      <c r="AH109" s="21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BM109" s="22"/>
      <c r="BN109" s="22"/>
    </row>
    <row r="110" spans="1:66" s="4" customFormat="1" ht="13.15" customHeight="1" x14ac:dyDescent="0.25">
      <c r="A110" s="28" t="s">
        <v>134</v>
      </c>
      <c r="B110" s="16" t="s">
        <v>5</v>
      </c>
      <c r="C110" s="17" t="s">
        <v>135</v>
      </c>
      <c r="D110" s="50">
        <f t="shared" ref="D110:E111" si="18">+D111</f>
        <v>72296</v>
      </c>
      <c r="E110" s="60">
        <f t="shared" si="18"/>
        <v>31500</v>
      </c>
      <c r="F110" s="84">
        <f t="shared" si="13"/>
        <v>0.43570875290472499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92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17.45" customHeight="1" x14ac:dyDescent="0.25">
      <c r="A111" s="28" t="s">
        <v>136</v>
      </c>
      <c r="B111" s="16" t="s">
        <v>5</v>
      </c>
      <c r="C111" s="17" t="s">
        <v>137</v>
      </c>
      <c r="D111" s="50">
        <f t="shared" si="18"/>
        <v>72296</v>
      </c>
      <c r="E111" s="60">
        <f t="shared" si="18"/>
        <v>31500</v>
      </c>
      <c r="F111" s="84">
        <f t="shared" si="13"/>
        <v>0.43570875290472499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92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30" customHeight="1" x14ac:dyDescent="0.25">
      <c r="A112" s="28" t="s">
        <v>138</v>
      </c>
      <c r="B112" s="16" t="s">
        <v>5</v>
      </c>
      <c r="C112" s="57" t="s">
        <v>139</v>
      </c>
      <c r="D112" s="50">
        <f>SUM(D113:D113)</f>
        <v>72296</v>
      </c>
      <c r="E112" s="60">
        <f>SUM(E113:E113)</f>
        <v>31500</v>
      </c>
      <c r="F112" s="84">
        <f t="shared" si="13"/>
        <v>0.43570875290472499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92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ht="58.9" customHeight="1" x14ac:dyDescent="0.2">
      <c r="A113" s="67" t="s">
        <v>140</v>
      </c>
      <c r="B113" s="16" t="s">
        <v>77</v>
      </c>
      <c r="C113" s="57" t="s">
        <v>141</v>
      </c>
      <c r="D113" s="50">
        <f>74106-1810</f>
        <v>72296</v>
      </c>
      <c r="E113" s="135">
        <v>31500</v>
      </c>
      <c r="F113" s="84">
        <f t="shared" si="13"/>
        <v>0.43570875290472499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92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BM113" s="3"/>
      <c r="BN113" s="3"/>
    </row>
    <row r="114" spans="1:66" s="4" customFormat="1" ht="18" customHeight="1" x14ac:dyDescent="0.25">
      <c r="A114" s="28" t="s">
        <v>142</v>
      </c>
      <c r="B114" s="16" t="s">
        <v>5</v>
      </c>
      <c r="C114" s="17" t="s">
        <v>143</v>
      </c>
      <c r="D114" s="50">
        <f t="shared" ref="D114:E115" si="19">+D115</f>
        <v>94388770.099999994</v>
      </c>
      <c r="E114" s="60">
        <f t="shared" si="19"/>
        <v>96837148.290000007</v>
      </c>
      <c r="F114" s="84">
        <f t="shared" si="13"/>
        <v>1.0259392953992947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92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16.899999999999999" customHeight="1" x14ac:dyDescent="0.25">
      <c r="A115" s="28" t="s">
        <v>144</v>
      </c>
      <c r="B115" s="16" t="s">
        <v>5</v>
      </c>
      <c r="C115" s="17" t="s">
        <v>145</v>
      </c>
      <c r="D115" s="50">
        <f>+D116</f>
        <v>94388770.099999994</v>
      </c>
      <c r="E115" s="60">
        <f t="shared" si="19"/>
        <v>96837148.290000007</v>
      </c>
      <c r="F115" s="84">
        <f t="shared" si="13"/>
        <v>1.0259392953992947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92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29.45" customHeight="1" x14ac:dyDescent="0.25">
      <c r="A116" s="28" t="s">
        <v>146</v>
      </c>
      <c r="B116" s="16" t="s">
        <v>5</v>
      </c>
      <c r="C116" s="17" t="s">
        <v>147</v>
      </c>
      <c r="D116" s="50">
        <f>+D118+D119+D120+D121+D122+D123+D124+D125</f>
        <v>94388770.099999994</v>
      </c>
      <c r="E116" s="60">
        <f>+E118+E119+E120+E121+E122+E123+E124+E125+E117</f>
        <v>96837148.290000007</v>
      </c>
      <c r="F116" s="84">
        <f t="shared" si="13"/>
        <v>1.0259392953992947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92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27" customHeight="1" x14ac:dyDescent="0.25">
      <c r="A117" s="28" t="s">
        <v>146</v>
      </c>
      <c r="B117" s="16" t="s">
        <v>256</v>
      </c>
      <c r="C117" s="17" t="s">
        <v>506</v>
      </c>
      <c r="D117" s="50">
        <v>0</v>
      </c>
      <c r="E117" s="60">
        <v>5000</v>
      </c>
      <c r="F117" s="84">
        <v>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113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25.9" customHeight="1" x14ac:dyDescent="0.25">
      <c r="A118" s="28" t="s">
        <v>146</v>
      </c>
      <c r="B118" s="16" t="s">
        <v>77</v>
      </c>
      <c r="C118" s="17" t="s">
        <v>147</v>
      </c>
      <c r="D118" s="60">
        <v>5324</v>
      </c>
      <c r="E118" s="135">
        <v>5324</v>
      </c>
      <c r="F118" s="84">
        <f t="shared" si="13"/>
        <v>1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92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6"/>
      <c r="AS118" s="6"/>
      <c r="AT118" s="3"/>
      <c r="AU118" s="3"/>
      <c r="AV118" s="3"/>
      <c r="AW118" s="3"/>
      <c r="BM118" s="3"/>
      <c r="BN118" s="3"/>
    </row>
    <row r="119" spans="1:66" s="4" customFormat="1" ht="29.45" customHeight="1" x14ac:dyDescent="0.25">
      <c r="A119" s="49" t="s">
        <v>146</v>
      </c>
      <c r="B119" s="16" t="s">
        <v>249</v>
      </c>
      <c r="C119" s="17" t="s">
        <v>147</v>
      </c>
      <c r="D119" s="60">
        <v>77012.479999999996</v>
      </c>
      <c r="E119" s="135">
        <v>77012.479999999996</v>
      </c>
      <c r="F119" s="84">
        <f t="shared" si="13"/>
        <v>1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92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"/>
      <c r="AN119" s="3"/>
      <c r="AO119" s="3"/>
      <c r="AP119" s="3"/>
      <c r="AQ119" s="3"/>
      <c r="AR119" s="6"/>
      <c r="AS119" s="6"/>
      <c r="AT119" s="3"/>
      <c r="AU119" s="3"/>
      <c r="AV119" s="3"/>
      <c r="AW119" s="3"/>
      <c r="BM119" s="3"/>
      <c r="BN119" s="3"/>
    </row>
    <row r="120" spans="1:66" s="4" customFormat="1" ht="30" customHeight="1" x14ac:dyDescent="0.25">
      <c r="A120" s="49" t="s">
        <v>146</v>
      </c>
      <c r="B120" s="16" t="s">
        <v>271</v>
      </c>
      <c r="C120" s="17" t="s">
        <v>147</v>
      </c>
      <c r="D120" s="60">
        <v>80302.95</v>
      </c>
      <c r="E120" s="135">
        <v>80302.95</v>
      </c>
      <c r="F120" s="84">
        <f t="shared" si="13"/>
        <v>1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92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6"/>
      <c r="AS120" s="6"/>
      <c r="AT120" s="3"/>
      <c r="AU120" s="3"/>
      <c r="AV120" s="3"/>
      <c r="AW120" s="3"/>
      <c r="BM120" s="3"/>
      <c r="BN120" s="3"/>
    </row>
    <row r="121" spans="1:66" s="4" customFormat="1" ht="27.6" customHeight="1" x14ac:dyDescent="0.25">
      <c r="A121" s="67" t="s">
        <v>356</v>
      </c>
      <c r="B121" s="16" t="s">
        <v>212</v>
      </c>
      <c r="C121" s="17" t="s">
        <v>147</v>
      </c>
      <c r="D121" s="60">
        <v>74.069999999999993</v>
      </c>
      <c r="E121" s="135">
        <v>366482.28</v>
      </c>
      <c r="F121" s="84" t="s">
        <v>562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92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6"/>
      <c r="AS121" s="6"/>
      <c r="AT121" s="3"/>
      <c r="AU121" s="3"/>
      <c r="AV121" s="3"/>
      <c r="AW121" s="3"/>
      <c r="BM121" s="3"/>
      <c r="BN121" s="3"/>
    </row>
    <row r="122" spans="1:66" s="4" customFormat="1" ht="27.6" customHeight="1" x14ac:dyDescent="0.25">
      <c r="A122" s="67" t="s">
        <v>356</v>
      </c>
      <c r="B122" s="16" t="s">
        <v>448</v>
      </c>
      <c r="C122" s="17" t="s">
        <v>147</v>
      </c>
      <c r="D122" s="60">
        <v>525.97</v>
      </c>
      <c r="E122" s="135">
        <v>525.97</v>
      </c>
      <c r="F122" s="84">
        <f t="shared" si="13"/>
        <v>1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92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6"/>
      <c r="AS122" s="6"/>
      <c r="AT122" s="3"/>
      <c r="AU122" s="3"/>
      <c r="AV122" s="3"/>
      <c r="AW122" s="3"/>
      <c r="BM122" s="3"/>
      <c r="BN122" s="3"/>
    </row>
    <row r="123" spans="1:66" s="4" customFormat="1" ht="30.6" customHeight="1" x14ac:dyDescent="0.2">
      <c r="A123" s="67" t="s">
        <v>356</v>
      </c>
      <c r="B123" s="16" t="s">
        <v>79</v>
      </c>
      <c r="C123" s="17" t="s">
        <v>147</v>
      </c>
      <c r="D123" s="50">
        <f>3390428.13+2906.5</f>
        <v>3393334.63</v>
      </c>
      <c r="E123" s="135">
        <v>3744201.91</v>
      </c>
      <c r="F123" s="84">
        <f t="shared" si="13"/>
        <v>1.1033989624536382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92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BM123" s="3"/>
      <c r="BN123" s="3"/>
    </row>
    <row r="124" spans="1:66" s="4" customFormat="1" ht="42" customHeight="1" x14ac:dyDescent="0.2">
      <c r="A124" s="49" t="s">
        <v>148</v>
      </c>
      <c r="B124" s="16" t="s">
        <v>79</v>
      </c>
      <c r="C124" s="17" t="s">
        <v>149</v>
      </c>
      <c r="D124" s="50">
        <f>787000+89135196</f>
        <v>89922196</v>
      </c>
      <c r="E124" s="135">
        <v>91813495.900000006</v>
      </c>
      <c r="F124" s="84">
        <f t="shared" si="13"/>
        <v>1.0210326258046456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92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BM124" s="3"/>
      <c r="BN124" s="3"/>
    </row>
    <row r="125" spans="1:66" s="4" customFormat="1" ht="28.9" customHeight="1" x14ac:dyDescent="0.2">
      <c r="A125" s="67" t="s">
        <v>150</v>
      </c>
      <c r="B125" s="16" t="s">
        <v>79</v>
      </c>
      <c r="C125" s="17" t="s">
        <v>151</v>
      </c>
      <c r="D125" s="50">
        <v>910000</v>
      </c>
      <c r="E125" s="135">
        <v>744802.8</v>
      </c>
      <c r="F125" s="84">
        <f t="shared" si="13"/>
        <v>0.81846461538461546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92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23" customFormat="1" ht="28.9" customHeight="1" x14ac:dyDescent="0.2">
      <c r="A126" s="28" t="s">
        <v>152</v>
      </c>
      <c r="B126" s="16" t="s">
        <v>5</v>
      </c>
      <c r="C126" s="17" t="s">
        <v>153</v>
      </c>
      <c r="D126" s="50">
        <f>+D127+D132+D130</f>
        <v>13791562</v>
      </c>
      <c r="E126" s="50">
        <f>+E127+E132+E130</f>
        <v>14221374.360000001</v>
      </c>
      <c r="F126" s="84">
        <f t="shared" si="13"/>
        <v>1.031164878931045</v>
      </c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3"/>
      <c r="U126" s="3"/>
      <c r="V126" s="92"/>
      <c r="W126" s="3"/>
      <c r="X126" s="3"/>
      <c r="Y126" s="22"/>
      <c r="Z126" s="22"/>
      <c r="AC126" s="21"/>
      <c r="AD126" s="21"/>
      <c r="AE126" s="21"/>
      <c r="AF126" s="21"/>
      <c r="AG126" s="21"/>
      <c r="AH126" s="21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BM126" s="22"/>
      <c r="BN126" s="22"/>
    </row>
    <row r="127" spans="1:66" s="4" customFormat="1" ht="69" customHeight="1" x14ac:dyDescent="0.25">
      <c r="A127" s="28" t="s">
        <v>154</v>
      </c>
      <c r="B127" s="33" t="s">
        <v>5</v>
      </c>
      <c r="C127" s="33" t="s">
        <v>155</v>
      </c>
      <c r="D127" s="50">
        <f t="shared" ref="D127:E128" si="20">+D128</f>
        <v>4628000</v>
      </c>
      <c r="E127" s="50">
        <f t="shared" si="20"/>
        <v>3539000.12</v>
      </c>
      <c r="F127" s="84">
        <f t="shared" si="13"/>
        <v>0.76469319792566981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92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"/>
      <c r="AN127" s="3"/>
      <c r="AO127" s="3"/>
      <c r="AP127" s="3"/>
      <c r="AQ127" s="3"/>
      <c r="AR127" s="6"/>
      <c r="AS127" s="6"/>
      <c r="AT127" s="3"/>
      <c r="AU127" s="3"/>
      <c r="AV127" s="3"/>
      <c r="AW127" s="3"/>
      <c r="BM127" s="3"/>
      <c r="BN127" s="3"/>
    </row>
    <row r="128" spans="1:66" s="4" customFormat="1" ht="80.45" customHeight="1" x14ac:dyDescent="0.25">
      <c r="A128" s="28" t="s">
        <v>156</v>
      </c>
      <c r="B128" s="33" t="s">
        <v>5</v>
      </c>
      <c r="C128" s="33" t="s">
        <v>157</v>
      </c>
      <c r="D128" s="50">
        <f t="shared" si="20"/>
        <v>4628000</v>
      </c>
      <c r="E128" s="50">
        <f t="shared" si="20"/>
        <v>3539000.12</v>
      </c>
      <c r="F128" s="84">
        <f t="shared" si="13"/>
        <v>0.76469319792566981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92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"/>
      <c r="AN128" s="3"/>
      <c r="AO128" s="3"/>
      <c r="AP128" s="3"/>
      <c r="AQ128" s="3"/>
      <c r="AR128" s="6"/>
      <c r="AS128" s="6"/>
      <c r="AT128" s="3"/>
      <c r="AU128" s="3"/>
      <c r="AV128" s="3"/>
      <c r="AW128" s="3"/>
      <c r="BM128" s="3"/>
      <c r="BN128" s="3"/>
    </row>
    <row r="129" spans="1:66" s="4" customFormat="1" ht="82.15" customHeight="1" x14ac:dyDescent="0.25">
      <c r="A129" s="28" t="s">
        <v>311</v>
      </c>
      <c r="B129" s="33" t="s">
        <v>77</v>
      </c>
      <c r="C129" s="33" t="s">
        <v>310</v>
      </c>
      <c r="D129" s="50">
        <v>4628000</v>
      </c>
      <c r="E129" s="114">
        <v>3539000.12</v>
      </c>
      <c r="F129" s="84">
        <f t="shared" si="13"/>
        <v>0.76469319792566981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92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"/>
      <c r="AN129" s="3"/>
      <c r="AO129" s="3"/>
      <c r="AP129" s="3"/>
      <c r="AQ129" s="3"/>
      <c r="AR129" s="6"/>
      <c r="AS129" s="6"/>
      <c r="AT129" s="3"/>
      <c r="AU129" s="3"/>
      <c r="AV129" s="3"/>
      <c r="AW129" s="3"/>
      <c r="BM129" s="3"/>
      <c r="BN129" s="3"/>
    </row>
    <row r="130" spans="1:66" s="4" customFormat="1" ht="43.15" customHeight="1" x14ac:dyDescent="0.25">
      <c r="A130" s="71" t="s">
        <v>526</v>
      </c>
      <c r="B130" s="33" t="s">
        <v>5</v>
      </c>
      <c r="C130" s="72" t="s">
        <v>507</v>
      </c>
      <c r="D130" s="50">
        <f>+D131</f>
        <v>0</v>
      </c>
      <c r="E130" s="50">
        <f>+E131</f>
        <v>755637.92</v>
      </c>
      <c r="F130" s="84">
        <v>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121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"/>
      <c r="AN130" s="3"/>
      <c r="AO130" s="3"/>
      <c r="AP130" s="3"/>
      <c r="AQ130" s="3"/>
      <c r="AR130" s="6"/>
      <c r="AS130" s="6"/>
      <c r="AT130" s="3"/>
      <c r="AU130" s="3"/>
      <c r="AV130" s="3"/>
      <c r="AW130" s="3"/>
      <c r="BM130" s="3"/>
      <c r="BN130" s="3"/>
    </row>
    <row r="131" spans="1:66" s="4" customFormat="1" ht="45" customHeight="1" x14ac:dyDescent="0.25">
      <c r="A131" s="124" t="s">
        <v>524</v>
      </c>
      <c r="B131" s="33" t="s">
        <v>79</v>
      </c>
      <c r="C131" s="125" t="s">
        <v>525</v>
      </c>
      <c r="D131" s="50">
        <v>0</v>
      </c>
      <c r="E131" s="114">
        <v>755637.92</v>
      </c>
      <c r="F131" s="84">
        <v>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116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"/>
      <c r="AN131" s="3"/>
      <c r="AO131" s="3"/>
      <c r="AP131" s="3"/>
      <c r="AQ131" s="3"/>
      <c r="AR131" s="6"/>
      <c r="AS131" s="6"/>
      <c r="AT131" s="3"/>
      <c r="AU131" s="3"/>
      <c r="AV131" s="3"/>
      <c r="AW131" s="3"/>
      <c r="BM131" s="3"/>
      <c r="BN131" s="3"/>
    </row>
    <row r="132" spans="1:66" s="4" customFormat="1" ht="28.9" customHeight="1" x14ac:dyDescent="0.25">
      <c r="A132" s="28" t="s">
        <v>158</v>
      </c>
      <c r="B132" s="33" t="s">
        <v>5</v>
      </c>
      <c r="C132" s="63" t="s">
        <v>159</v>
      </c>
      <c r="D132" s="50">
        <f>+D133+D135</f>
        <v>9163562</v>
      </c>
      <c r="E132" s="60">
        <f>+E133+E135</f>
        <v>9926736.3200000003</v>
      </c>
      <c r="F132" s="84">
        <f t="shared" si="13"/>
        <v>1.0832835877576863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92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6"/>
      <c r="AS132" s="6"/>
      <c r="AT132" s="3"/>
      <c r="AU132" s="3"/>
      <c r="AV132" s="3"/>
      <c r="AW132" s="3"/>
      <c r="BM132" s="3"/>
      <c r="BN132" s="3"/>
    </row>
    <row r="133" spans="1:66" s="4" customFormat="1" ht="29.45" customHeight="1" x14ac:dyDescent="0.25">
      <c r="A133" s="28" t="s">
        <v>160</v>
      </c>
      <c r="B133" s="33" t="s">
        <v>5</v>
      </c>
      <c r="C133" s="63" t="s">
        <v>161</v>
      </c>
      <c r="D133" s="50">
        <f>+D134</f>
        <v>6755890</v>
      </c>
      <c r="E133" s="60">
        <f>+E134</f>
        <v>7347913.8200000003</v>
      </c>
      <c r="F133" s="84">
        <f t="shared" si="13"/>
        <v>1.087630766634744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92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"/>
      <c r="AN133" s="3"/>
      <c r="AO133" s="3"/>
      <c r="AP133" s="3"/>
      <c r="AQ133" s="3"/>
      <c r="AR133" s="6"/>
      <c r="AS133" s="6"/>
      <c r="AT133" s="3"/>
      <c r="AU133" s="3"/>
      <c r="AV133" s="3"/>
      <c r="AW133" s="3"/>
      <c r="BM133" s="3"/>
      <c r="BN133" s="3"/>
    </row>
    <row r="134" spans="1:66" s="4" customFormat="1" ht="43.15" customHeight="1" x14ac:dyDescent="0.25">
      <c r="A134" s="28" t="s">
        <v>162</v>
      </c>
      <c r="B134" s="33" t="s">
        <v>77</v>
      </c>
      <c r="C134" s="63" t="s">
        <v>163</v>
      </c>
      <c r="D134" s="50">
        <v>6755890</v>
      </c>
      <c r="E134" s="114">
        <v>7347913.8200000003</v>
      </c>
      <c r="F134" s="84">
        <f t="shared" si="13"/>
        <v>1.087630766634744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4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6"/>
      <c r="AS134" s="6"/>
      <c r="AT134" s="3"/>
      <c r="AU134" s="3"/>
      <c r="AV134" s="3"/>
      <c r="AW134" s="3"/>
      <c r="BM134" s="3"/>
      <c r="BN134" s="3"/>
    </row>
    <row r="135" spans="1:66" s="4" customFormat="1" ht="42" customHeight="1" x14ac:dyDescent="0.25">
      <c r="A135" s="28" t="s">
        <v>164</v>
      </c>
      <c r="B135" s="33" t="s">
        <v>5</v>
      </c>
      <c r="C135" s="63" t="s">
        <v>165</v>
      </c>
      <c r="D135" s="50">
        <f>+D136</f>
        <v>2407672</v>
      </c>
      <c r="E135" s="60">
        <f>+E136</f>
        <v>2578822.5</v>
      </c>
      <c r="F135" s="84">
        <f t="shared" si="13"/>
        <v>1.0710854717752252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92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"/>
      <c r="AN135" s="3"/>
      <c r="AO135" s="3"/>
      <c r="AP135" s="3"/>
      <c r="AQ135" s="3"/>
      <c r="AR135" s="6"/>
      <c r="AS135" s="6"/>
      <c r="AT135" s="3"/>
      <c r="AU135" s="3"/>
      <c r="AV135" s="3"/>
      <c r="AW135" s="3"/>
      <c r="BM135" s="3"/>
      <c r="BN135" s="3"/>
    </row>
    <row r="136" spans="1:66" s="4" customFormat="1" ht="41.45" customHeight="1" x14ac:dyDescent="0.25">
      <c r="A136" s="28" t="s">
        <v>166</v>
      </c>
      <c r="B136" s="33" t="s">
        <v>77</v>
      </c>
      <c r="C136" s="63" t="s">
        <v>167</v>
      </c>
      <c r="D136" s="50">
        <v>2407672</v>
      </c>
      <c r="E136" s="114">
        <v>2578822.5</v>
      </c>
      <c r="F136" s="84">
        <f t="shared" si="13"/>
        <v>1.0710854717752252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92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"/>
      <c r="AN136" s="3"/>
      <c r="AO136" s="3"/>
      <c r="AP136" s="3"/>
      <c r="AQ136" s="3"/>
      <c r="AR136" s="6"/>
      <c r="AS136" s="6"/>
      <c r="AT136" s="3"/>
      <c r="AU136" s="3"/>
      <c r="AV136" s="3"/>
      <c r="AW136" s="3"/>
      <c r="BM136" s="3"/>
      <c r="BN136" s="3"/>
    </row>
    <row r="137" spans="1:66" s="4" customFormat="1" ht="15" customHeight="1" x14ac:dyDescent="0.25">
      <c r="A137" s="28" t="s">
        <v>168</v>
      </c>
      <c r="B137" s="16" t="s">
        <v>5</v>
      </c>
      <c r="C137" s="17" t="s">
        <v>169</v>
      </c>
      <c r="D137" s="50">
        <f>+D138+D172+D174+D198+D184+D201</f>
        <v>15367807.290000001</v>
      </c>
      <c r="E137" s="50">
        <f>+E138+E172+E174+E198+E184+E201</f>
        <v>7117104.3799999999</v>
      </c>
      <c r="F137" s="84">
        <f t="shared" ref="F137:F200" si="21">+E137/D137</f>
        <v>0.46311775295563323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92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"/>
      <c r="AN137" s="3"/>
      <c r="AO137" s="3"/>
      <c r="AP137" s="35"/>
      <c r="AQ137" s="3"/>
      <c r="AR137" s="6"/>
      <c r="AS137" s="6"/>
      <c r="AT137" s="3"/>
      <c r="AU137" s="3"/>
      <c r="AV137" s="3"/>
      <c r="AW137" s="3"/>
      <c r="BM137" s="3"/>
      <c r="BN137" s="3"/>
    </row>
    <row r="138" spans="1:66" s="4" customFormat="1" ht="30" customHeight="1" x14ac:dyDescent="0.25">
      <c r="A138" s="28" t="s">
        <v>170</v>
      </c>
      <c r="B138" s="16" t="s">
        <v>5</v>
      </c>
      <c r="C138" s="17" t="s">
        <v>171</v>
      </c>
      <c r="D138" s="50">
        <f>+D139+D142+D145+D160+D166+D169+D148+D158+D164+D152+D156+D154+D162+D150</f>
        <v>4476820</v>
      </c>
      <c r="E138" s="50">
        <f>+E139+E142+E145+E160+E166+E169+E148+E158+E164+E152+E156+E154+E162+E150</f>
        <v>1472613.98</v>
      </c>
      <c r="F138" s="84">
        <f t="shared" si="21"/>
        <v>0.32894196773602691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92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"/>
      <c r="AN138" s="3"/>
      <c r="AO138" s="3"/>
      <c r="AP138" s="3"/>
      <c r="AQ138" s="3"/>
      <c r="AR138" s="6"/>
      <c r="AS138" s="6"/>
      <c r="AT138" s="3"/>
      <c r="AU138" s="3"/>
      <c r="AV138" s="3"/>
      <c r="AW138" s="3"/>
      <c r="BM138" s="3"/>
      <c r="BN138" s="3"/>
    </row>
    <row r="139" spans="1:66" s="4" customFormat="1" ht="44.45" customHeight="1" x14ac:dyDescent="0.2">
      <c r="A139" s="28" t="s">
        <v>172</v>
      </c>
      <c r="B139" s="16" t="s">
        <v>5</v>
      </c>
      <c r="C139" s="57" t="s">
        <v>173</v>
      </c>
      <c r="D139" s="50">
        <f>+D140+D141</f>
        <v>32490</v>
      </c>
      <c r="E139" s="50">
        <f>+E140+E141</f>
        <v>35095.949999999997</v>
      </c>
      <c r="F139" s="84">
        <f t="shared" si="21"/>
        <v>1.0802077562326868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92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68.45" customHeight="1" x14ac:dyDescent="0.2">
      <c r="A140" s="28" t="s">
        <v>174</v>
      </c>
      <c r="B140" s="16" t="s">
        <v>175</v>
      </c>
      <c r="C140" s="57" t="s">
        <v>176</v>
      </c>
      <c r="D140" s="50">
        <v>19730</v>
      </c>
      <c r="E140" s="136">
        <v>18595.95</v>
      </c>
      <c r="F140" s="84">
        <f t="shared" si="21"/>
        <v>0.94252154080081096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92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6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69.599999999999994" customHeight="1" x14ac:dyDescent="0.2">
      <c r="A141" s="28" t="s">
        <v>174</v>
      </c>
      <c r="B141" s="16" t="s">
        <v>177</v>
      </c>
      <c r="C141" s="57" t="s">
        <v>176</v>
      </c>
      <c r="D141" s="50">
        <v>12760</v>
      </c>
      <c r="E141" s="136">
        <v>16500</v>
      </c>
      <c r="F141" s="84">
        <f t="shared" si="21"/>
        <v>1.2931034482758621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92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6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9" customHeight="1" x14ac:dyDescent="0.2">
      <c r="A142" s="28" t="s">
        <v>178</v>
      </c>
      <c r="B142" s="16" t="s">
        <v>5</v>
      </c>
      <c r="C142" s="57" t="s">
        <v>179</v>
      </c>
      <c r="D142" s="50">
        <f>+D143+D144</f>
        <v>505000</v>
      </c>
      <c r="E142" s="50">
        <f>+E143+E144</f>
        <v>235775.02</v>
      </c>
      <c r="F142" s="84">
        <f t="shared" si="21"/>
        <v>0.46688122772277224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92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80.45" customHeight="1" x14ac:dyDescent="0.2">
      <c r="A143" s="28" t="s">
        <v>180</v>
      </c>
      <c r="B143" s="16" t="s">
        <v>175</v>
      </c>
      <c r="C143" s="57" t="s">
        <v>181</v>
      </c>
      <c r="D143" s="50">
        <v>16380</v>
      </c>
      <c r="E143" s="136">
        <v>4475.0600000000004</v>
      </c>
      <c r="F143" s="84">
        <f t="shared" si="21"/>
        <v>0.27320268620268623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92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6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83.45" customHeight="1" x14ac:dyDescent="0.2">
      <c r="A144" s="28" t="s">
        <v>180</v>
      </c>
      <c r="B144" s="16" t="s">
        <v>177</v>
      </c>
      <c r="C144" s="57" t="s">
        <v>181</v>
      </c>
      <c r="D144" s="50">
        <v>488620</v>
      </c>
      <c r="E144" s="50">
        <v>231299.96</v>
      </c>
      <c r="F144" s="84">
        <f t="shared" si="21"/>
        <v>0.47337391019606234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92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6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55.15" customHeight="1" x14ac:dyDescent="0.2">
      <c r="A145" s="28" t="s">
        <v>182</v>
      </c>
      <c r="B145" s="16" t="s">
        <v>5</v>
      </c>
      <c r="C145" s="57" t="s">
        <v>183</v>
      </c>
      <c r="D145" s="50">
        <f>+D147+D146</f>
        <v>22040</v>
      </c>
      <c r="E145" s="50">
        <f t="shared" ref="E145" si="22">+E147+E146</f>
        <v>162050.93</v>
      </c>
      <c r="F145" s="84">
        <f t="shared" si="21"/>
        <v>7.352583030852994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92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70.900000000000006" customHeight="1" x14ac:dyDescent="0.2">
      <c r="A146" s="28" t="s">
        <v>184</v>
      </c>
      <c r="B146" s="16" t="s">
        <v>175</v>
      </c>
      <c r="C146" s="57" t="s">
        <v>185</v>
      </c>
      <c r="D146" s="50">
        <v>2350</v>
      </c>
      <c r="E146" s="136">
        <v>799</v>
      </c>
      <c r="F146" s="84">
        <f t="shared" si="21"/>
        <v>0.34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92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69" customHeight="1" x14ac:dyDescent="0.2">
      <c r="A147" s="28" t="s">
        <v>184</v>
      </c>
      <c r="B147" s="16" t="s">
        <v>177</v>
      </c>
      <c r="C147" s="57" t="s">
        <v>185</v>
      </c>
      <c r="D147" s="50">
        <v>19690</v>
      </c>
      <c r="E147" s="50">
        <v>161251.93</v>
      </c>
      <c r="F147" s="84">
        <f t="shared" si="21"/>
        <v>8.1895342813610963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92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6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53.45" customHeight="1" x14ac:dyDescent="0.2">
      <c r="A148" s="28" t="s">
        <v>186</v>
      </c>
      <c r="B148" s="16" t="s">
        <v>5</v>
      </c>
      <c r="C148" s="57" t="s">
        <v>187</v>
      </c>
      <c r="D148" s="50">
        <f t="shared" ref="D148:E148" si="23">+D149</f>
        <v>273350</v>
      </c>
      <c r="E148" s="50">
        <f t="shared" si="23"/>
        <v>28189.84</v>
      </c>
      <c r="F148" s="84">
        <f t="shared" si="21"/>
        <v>0.10312727272727273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92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67.150000000000006" customHeight="1" x14ac:dyDescent="0.2">
      <c r="A149" s="94" t="s">
        <v>188</v>
      </c>
      <c r="B149" s="16" t="s">
        <v>177</v>
      </c>
      <c r="C149" s="57" t="s">
        <v>189</v>
      </c>
      <c r="D149" s="50">
        <v>273350</v>
      </c>
      <c r="E149" s="50">
        <v>28189.84</v>
      </c>
      <c r="F149" s="84">
        <f t="shared" si="21"/>
        <v>0.10312727272727273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92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6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54" customHeight="1" x14ac:dyDescent="0.2">
      <c r="A150" s="71" t="s">
        <v>527</v>
      </c>
      <c r="B150" s="16" t="s">
        <v>5</v>
      </c>
      <c r="C150" s="57" t="s">
        <v>529</v>
      </c>
      <c r="D150" s="50">
        <f>D151</f>
        <v>0</v>
      </c>
      <c r="E150" s="50">
        <f>E151</f>
        <v>750</v>
      </c>
      <c r="F150" s="84">
        <v>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116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6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69" customHeight="1" x14ac:dyDescent="0.2">
      <c r="A151" s="71" t="s">
        <v>528</v>
      </c>
      <c r="B151" s="16" t="s">
        <v>177</v>
      </c>
      <c r="C151" s="57" t="s">
        <v>530</v>
      </c>
      <c r="D151" s="50">
        <v>0</v>
      </c>
      <c r="E151" s="50">
        <v>750</v>
      </c>
      <c r="F151" s="84">
        <v>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116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6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54.6" customHeight="1" x14ac:dyDescent="0.2">
      <c r="A152" s="71" t="s">
        <v>450</v>
      </c>
      <c r="B152" s="16" t="s">
        <v>5</v>
      </c>
      <c r="C152" s="72" t="s">
        <v>455</v>
      </c>
      <c r="D152" s="50">
        <f>+D153</f>
        <v>0</v>
      </c>
      <c r="E152" s="50">
        <f>+E153</f>
        <v>1650</v>
      </c>
      <c r="F152" s="84">
        <v>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92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6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70.900000000000006" customHeight="1" x14ac:dyDescent="0.2">
      <c r="A153" s="71" t="s">
        <v>451</v>
      </c>
      <c r="B153" s="16" t="s">
        <v>177</v>
      </c>
      <c r="C153" s="81" t="s">
        <v>531</v>
      </c>
      <c r="D153" s="50">
        <v>0</v>
      </c>
      <c r="E153" s="111">
        <v>1650</v>
      </c>
      <c r="F153" s="84">
        <v>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92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6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42.6" customHeight="1" x14ac:dyDescent="0.2">
      <c r="A154" s="71" t="s">
        <v>532</v>
      </c>
      <c r="B154" s="16" t="s">
        <v>5</v>
      </c>
      <c r="C154" s="72" t="s">
        <v>533</v>
      </c>
      <c r="D154" s="50">
        <v>0</v>
      </c>
      <c r="E154" s="111">
        <f>E155</f>
        <v>7500</v>
      </c>
      <c r="F154" s="84">
        <v>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92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6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68.45" customHeight="1" x14ac:dyDescent="0.2">
      <c r="A155" s="71" t="s">
        <v>476</v>
      </c>
      <c r="B155" s="16" t="s">
        <v>177</v>
      </c>
      <c r="C155" s="72" t="s">
        <v>477</v>
      </c>
      <c r="D155" s="50">
        <v>0</v>
      </c>
      <c r="E155" s="111">
        <v>7500</v>
      </c>
      <c r="F155" s="84">
        <v>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92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6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43.15" customHeight="1" x14ac:dyDescent="0.2">
      <c r="A156" s="95" t="s">
        <v>452</v>
      </c>
      <c r="B156" s="16" t="s">
        <v>5</v>
      </c>
      <c r="C156" s="72" t="s">
        <v>454</v>
      </c>
      <c r="D156" s="50">
        <f>+D157</f>
        <v>0</v>
      </c>
      <c r="E156" s="50">
        <f>+E157</f>
        <v>15000</v>
      </c>
      <c r="F156" s="84">
        <v>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92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6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71.45" customHeight="1" x14ac:dyDescent="0.2">
      <c r="A157" s="95" t="s">
        <v>453</v>
      </c>
      <c r="B157" s="16" t="s">
        <v>177</v>
      </c>
      <c r="C157" s="72" t="s">
        <v>534</v>
      </c>
      <c r="D157" s="50">
        <v>0</v>
      </c>
      <c r="E157" s="111">
        <v>15000</v>
      </c>
      <c r="F157" s="84">
        <v>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92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6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69" customHeight="1" x14ac:dyDescent="0.2">
      <c r="A158" s="28" t="s">
        <v>190</v>
      </c>
      <c r="B158" s="16" t="s">
        <v>5</v>
      </c>
      <c r="C158" s="57" t="s">
        <v>191</v>
      </c>
      <c r="D158" s="50">
        <f t="shared" ref="D158:E158" si="24">+D159</f>
        <v>821150</v>
      </c>
      <c r="E158" s="50">
        <f t="shared" si="24"/>
        <v>252553.3</v>
      </c>
      <c r="F158" s="84">
        <f t="shared" si="21"/>
        <v>0.30756049442854533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92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ht="82.9" customHeight="1" x14ac:dyDescent="0.2">
      <c r="A159" s="28" t="s">
        <v>192</v>
      </c>
      <c r="B159" s="16" t="s">
        <v>177</v>
      </c>
      <c r="C159" s="57" t="s">
        <v>193</v>
      </c>
      <c r="D159" s="50">
        <v>821150</v>
      </c>
      <c r="E159" s="50">
        <v>252553.3</v>
      </c>
      <c r="F159" s="84">
        <f t="shared" si="21"/>
        <v>0.30756049442854533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92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6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BM159" s="3"/>
      <c r="BN159" s="3"/>
    </row>
    <row r="160" spans="1:66" s="4" customFormat="1" ht="57.6" customHeight="1" x14ac:dyDescent="0.2">
      <c r="A160" s="28" t="s">
        <v>194</v>
      </c>
      <c r="B160" s="16" t="s">
        <v>5</v>
      </c>
      <c r="C160" s="57" t="s">
        <v>195</v>
      </c>
      <c r="D160" s="50">
        <f t="shared" ref="D160:E160" si="25">+D161</f>
        <v>45650</v>
      </c>
      <c r="E160" s="50">
        <f t="shared" si="25"/>
        <v>50732.1</v>
      </c>
      <c r="F160" s="84">
        <f t="shared" si="21"/>
        <v>1.1113274917853231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92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BM160" s="3"/>
      <c r="BN160" s="3"/>
    </row>
    <row r="161" spans="1:66" s="4" customFormat="1" ht="96" customHeight="1" x14ac:dyDescent="0.2">
      <c r="A161" s="28" t="s">
        <v>196</v>
      </c>
      <c r="B161" s="16" t="s">
        <v>177</v>
      </c>
      <c r="C161" s="57" t="s">
        <v>197</v>
      </c>
      <c r="D161" s="50">
        <v>45650</v>
      </c>
      <c r="E161" s="50">
        <v>50732.1</v>
      </c>
      <c r="F161" s="84">
        <f t="shared" si="21"/>
        <v>1.1113274917853231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92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6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BM161" s="3"/>
      <c r="BN161" s="3"/>
    </row>
    <row r="162" spans="1:66" s="4" customFormat="1" ht="58.15" customHeight="1" x14ac:dyDescent="0.2">
      <c r="A162" s="71" t="s">
        <v>492</v>
      </c>
      <c r="B162" s="16" t="s">
        <v>5</v>
      </c>
      <c r="C162" s="72" t="s">
        <v>493</v>
      </c>
      <c r="D162" s="50">
        <f>+D163</f>
        <v>0</v>
      </c>
      <c r="E162" s="50">
        <f>+E163</f>
        <v>1799.49</v>
      </c>
      <c r="F162" s="84">
        <v>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92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6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BM162" s="3"/>
      <c r="BN162" s="3"/>
    </row>
    <row r="163" spans="1:66" s="4" customFormat="1" ht="73.150000000000006" customHeight="1" x14ac:dyDescent="0.2">
      <c r="A163" s="71" t="s">
        <v>478</v>
      </c>
      <c r="B163" s="16" t="s">
        <v>177</v>
      </c>
      <c r="C163" s="72" t="s">
        <v>494</v>
      </c>
      <c r="D163" s="50">
        <v>0</v>
      </c>
      <c r="E163" s="50">
        <v>1799.49</v>
      </c>
      <c r="F163" s="84">
        <v>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92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6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BM163" s="3"/>
      <c r="BN163" s="3"/>
    </row>
    <row r="164" spans="1:66" s="4" customFormat="1" ht="54" customHeight="1" x14ac:dyDescent="0.2">
      <c r="A164" s="28" t="s">
        <v>198</v>
      </c>
      <c r="B164" s="16" t="s">
        <v>5</v>
      </c>
      <c r="C164" s="57" t="s">
        <v>199</v>
      </c>
      <c r="D164" s="50">
        <f t="shared" ref="D164:E164" si="26">+D165</f>
        <v>10890</v>
      </c>
      <c r="E164" s="50">
        <f t="shared" si="26"/>
        <v>7628.93</v>
      </c>
      <c r="F164" s="84">
        <f t="shared" si="21"/>
        <v>0.70054453627180902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92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BM164" s="3"/>
      <c r="BN164" s="3"/>
    </row>
    <row r="165" spans="1:66" s="4" customFormat="1" ht="67.900000000000006" customHeight="1" x14ac:dyDescent="0.2">
      <c r="A165" s="28" t="s">
        <v>200</v>
      </c>
      <c r="B165" s="16" t="s">
        <v>177</v>
      </c>
      <c r="C165" s="57" t="s">
        <v>201</v>
      </c>
      <c r="D165" s="50">
        <v>10890</v>
      </c>
      <c r="E165" s="136">
        <v>7628.93</v>
      </c>
      <c r="F165" s="84">
        <f t="shared" si="21"/>
        <v>0.70054453627180902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92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6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BM165" s="3"/>
      <c r="BN165" s="3"/>
    </row>
    <row r="166" spans="1:66" s="4" customFormat="1" ht="43.15" customHeight="1" x14ac:dyDescent="0.2">
      <c r="A166" s="28" t="s">
        <v>202</v>
      </c>
      <c r="B166" s="16" t="s">
        <v>5</v>
      </c>
      <c r="C166" s="57" t="s">
        <v>203</v>
      </c>
      <c r="D166" s="50">
        <f t="shared" ref="D166" si="27">+D167+D168</f>
        <v>945580</v>
      </c>
      <c r="E166" s="50">
        <f>+E167+E168</f>
        <v>35730.43</v>
      </c>
      <c r="F166" s="84">
        <f t="shared" si="21"/>
        <v>3.7786786945578375E-2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92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BM166" s="3"/>
      <c r="BN166" s="3"/>
    </row>
    <row r="167" spans="1:66" s="4" customFormat="1" ht="68.45" customHeight="1" x14ac:dyDescent="0.2">
      <c r="A167" s="28" t="s">
        <v>204</v>
      </c>
      <c r="B167" s="16" t="s">
        <v>175</v>
      </c>
      <c r="C167" s="57" t="s">
        <v>205</v>
      </c>
      <c r="D167" s="50">
        <v>24550</v>
      </c>
      <c r="E167" s="136">
        <v>4523.87</v>
      </c>
      <c r="F167" s="84">
        <f t="shared" si="21"/>
        <v>0.18427169042769856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92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6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BM167" s="3"/>
      <c r="BN167" s="3"/>
    </row>
    <row r="168" spans="1:66" s="4" customFormat="1" ht="69.599999999999994" customHeight="1" x14ac:dyDescent="0.2">
      <c r="A168" s="28" t="s">
        <v>204</v>
      </c>
      <c r="B168" s="16" t="s">
        <v>177</v>
      </c>
      <c r="C168" s="57" t="s">
        <v>205</v>
      </c>
      <c r="D168" s="50">
        <v>921030</v>
      </c>
      <c r="E168" s="50">
        <v>31206.560000000001</v>
      </c>
      <c r="F168" s="84">
        <f t="shared" si="21"/>
        <v>3.3882240535053149E-2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92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6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BM168" s="3"/>
      <c r="BN168" s="3"/>
    </row>
    <row r="169" spans="1:66" s="4" customFormat="1" ht="55.15" customHeight="1" x14ac:dyDescent="0.2">
      <c r="A169" s="28" t="s">
        <v>206</v>
      </c>
      <c r="B169" s="16" t="s">
        <v>5</v>
      </c>
      <c r="C169" s="57" t="s">
        <v>207</v>
      </c>
      <c r="D169" s="50">
        <f t="shared" ref="D169:E169" si="28">+D170+D171</f>
        <v>1820670</v>
      </c>
      <c r="E169" s="50">
        <f t="shared" si="28"/>
        <v>638157.99</v>
      </c>
      <c r="F169" s="84">
        <f t="shared" si="21"/>
        <v>0.35050722536209195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92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BM169" s="3"/>
      <c r="BN169" s="3"/>
    </row>
    <row r="170" spans="1:66" s="4" customFormat="1" ht="81.599999999999994" customHeight="1" x14ac:dyDescent="0.2">
      <c r="A170" s="28" t="s">
        <v>208</v>
      </c>
      <c r="B170" s="16" t="s">
        <v>175</v>
      </c>
      <c r="C170" s="57" t="s">
        <v>209</v>
      </c>
      <c r="D170" s="50">
        <v>47140</v>
      </c>
      <c r="E170" s="50">
        <v>14152.46</v>
      </c>
      <c r="F170" s="84">
        <f t="shared" si="21"/>
        <v>0.30022189223589307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92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6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BM170" s="3"/>
      <c r="BN170" s="3"/>
    </row>
    <row r="171" spans="1:66" s="4" customFormat="1" ht="81.599999999999994" customHeight="1" x14ac:dyDescent="0.2">
      <c r="A171" s="28" t="s">
        <v>208</v>
      </c>
      <c r="B171" s="16" t="s">
        <v>177</v>
      </c>
      <c r="C171" s="57" t="s">
        <v>209</v>
      </c>
      <c r="D171" s="50">
        <v>1773530</v>
      </c>
      <c r="E171" s="50">
        <v>624005.53</v>
      </c>
      <c r="F171" s="84">
        <f t="shared" si="21"/>
        <v>0.35184379739840882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92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6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BM171" s="3"/>
      <c r="BN171" s="3"/>
    </row>
    <row r="172" spans="1:66" s="4" customFormat="1" ht="31.9" customHeight="1" x14ac:dyDescent="0.2">
      <c r="A172" s="28" t="s">
        <v>210</v>
      </c>
      <c r="B172" s="37" t="s">
        <v>5</v>
      </c>
      <c r="C172" s="123" t="s">
        <v>211</v>
      </c>
      <c r="D172" s="50">
        <f>+D173</f>
        <v>165000</v>
      </c>
      <c r="E172" s="50">
        <f>+E173</f>
        <v>111371.56</v>
      </c>
      <c r="F172" s="84">
        <f t="shared" si="21"/>
        <v>0.67497915151515153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92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BM172" s="3"/>
      <c r="BN172" s="3"/>
    </row>
    <row r="173" spans="1:66" s="4" customFormat="1" ht="60.6" customHeight="1" x14ac:dyDescent="0.2">
      <c r="A173" s="28" t="s">
        <v>316</v>
      </c>
      <c r="B173" s="37" t="s">
        <v>212</v>
      </c>
      <c r="C173" s="123" t="s">
        <v>213</v>
      </c>
      <c r="D173" s="50">
        <f>160000+5000</f>
        <v>165000</v>
      </c>
      <c r="E173" s="136">
        <v>111371.56</v>
      </c>
      <c r="F173" s="84">
        <f t="shared" si="21"/>
        <v>0.67497915151515153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92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91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BM173" s="3"/>
      <c r="BN173" s="3"/>
    </row>
    <row r="174" spans="1:66" s="4" customFormat="1" ht="95.45" customHeight="1" x14ac:dyDescent="0.2">
      <c r="A174" s="28" t="s">
        <v>214</v>
      </c>
      <c r="B174" s="16" t="s">
        <v>5</v>
      </c>
      <c r="C174" s="29" t="s">
        <v>317</v>
      </c>
      <c r="D174" s="50">
        <f>+D178+D175</f>
        <v>8046619.2999999998</v>
      </c>
      <c r="E174" s="50">
        <f t="shared" ref="E174" si="29">+E178+E175</f>
        <v>4561719.3499999996</v>
      </c>
      <c r="F174" s="84">
        <f t="shared" si="21"/>
        <v>0.56691129279596952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92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BM174" s="3"/>
      <c r="BN174" s="3"/>
    </row>
    <row r="175" spans="1:66" s="4" customFormat="1" ht="55.9" customHeight="1" x14ac:dyDescent="0.2">
      <c r="A175" s="28" t="s">
        <v>350</v>
      </c>
      <c r="B175" s="16" t="s">
        <v>5</v>
      </c>
      <c r="C175" s="29" t="s">
        <v>351</v>
      </c>
      <c r="D175" s="50">
        <f>+D177+D176</f>
        <v>9583.34</v>
      </c>
      <c r="E175" s="50">
        <f>+E177+E176</f>
        <v>9583.34</v>
      </c>
      <c r="F175" s="84">
        <f t="shared" si="21"/>
        <v>1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92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BM175" s="3"/>
      <c r="BN175" s="3"/>
    </row>
    <row r="176" spans="1:66" s="4" customFormat="1" ht="70.900000000000006" customHeight="1" x14ac:dyDescent="0.2">
      <c r="A176" s="77" t="s">
        <v>352</v>
      </c>
      <c r="B176" s="16" t="s">
        <v>77</v>
      </c>
      <c r="C176" s="57" t="s">
        <v>353</v>
      </c>
      <c r="D176" s="50">
        <v>9432.14</v>
      </c>
      <c r="E176" s="136">
        <v>9432.14</v>
      </c>
      <c r="F176" s="84">
        <f t="shared" si="21"/>
        <v>1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92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BM176" s="3"/>
      <c r="BN176" s="3"/>
    </row>
    <row r="177" spans="1:66" s="4" customFormat="1" ht="69.599999999999994" customHeight="1" x14ac:dyDescent="0.2">
      <c r="A177" s="77" t="s">
        <v>352</v>
      </c>
      <c r="B177" s="16" t="s">
        <v>79</v>
      </c>
      <c r="C177" s="57" t="s">
        <v>353</v>
      </c>
      <c r="D177" s="50">
        <v>151.19999999999999</v>
      </c>
      <c r="E177" s="136">
        <v>151.19999999999999</v>
      </c>
      <c r="F177" s="84">
        <f t="shared" si="21"/>
        <v>1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92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BM177" s="3"/>
      <c r="BN177" s="3"/>
    </row>
    <row r="178" spans="1:66" s="4" customFormat="1" ht="69" customHeight="1" x14ac:dyDescent="0.2">
      <c r="A178" s="28" t="s">
        <v>215</v>
      </c>
      <c r="B178" s="16" t="s">
        <v>5</v>
      </c>
      <c r="C178" s="17" t="s">
        <v>216</v>
      </c>
      <c r="D178" s="50">
        <f>+D180+D181+D183+D182+D179</f>
        <v>8037035.96</v>
      </c>
      <c r="E178" s="50">
        <f>+E180+E181+E183+E182+E179</f>
        <v>4552136.01</v>
      </c>
      <c r="F178" s="84">
        <f t="shared" si="21"/>
        <v>0.56639487898969154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92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BM178" s="3"/>
      <c r="BN178" s="3"/>
    </row>
    <row r="179" spans="1:66" s="4" customFormat="1" ht="69" customHeight="1" x14ac:dyDescent="0.2">
      <c r="A179" s="67" t="s">
        <v>215</v>
      </c>
      <c r="B179" s="16" t="s">
        <v>77</v>
      </c>
      <c r="C179" s="17" t="s">
        <v>475</v>
      </c>
      <c r="D179" s="50">
        <v>0</v>
      </c>
      <c r="E179" s="50">
        <v>24504</v>
      </c>
      <c r="F179" s="84">
        <v>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116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BM179" s="3"/>
      <c r="BN179" s="3"/>
    </row>
    <row r="180" spans="1:66" s="4" customFormat="1" ht="85.15" customHeight="1" x14ac:dyDescent="0.2">
      <c r="A180" s="28" t="s">
        <v>328</v>
      </c>
      <c r="B180" s="16" t="s">
        <v>77</v>
      </c>
      <c r="C180" s="17" t="s">
        <v>217</v>
      </c>
      <c r="D180" s="50">
        <f>384085-22908</f>
        <v>361177</v>
      </c>
      <c r="E180" s="136">
        <v>240568.77</v>
      </c>
      <c r="F180" s="84">
        <f t="shared" si="21"/>
        <v>0.66606890804231722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92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8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BM180" s="3"/>
      <c r="BN180" s="3"/>
    </row>
    <row r="181" spans="1:66" s="4" customFormat="1" ht="81" customHeight="1" x14ac:dyDescent="0.2">
      <c r="A181" s="28" t="s">
        <v>329</v>
      </c>
      <c r="B181" s="16" t="s">
        <v>77</v>
      </c>
      <c r="C181" s="17" t="s">
        <v>218</v>
      </c>
      <c r="D181" s="50">
        <f>5057659+2592748</f>
        <v>7650407</v>
      </c>
      <c r="E181" s="136">
        <v>3899189.34</v>
      </c>
      <c r="F181" s="84">
        <f t="shared" si="21"/>
        <v>0.50967083712016892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92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8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BM181" s="3"/>
      <c r="BN181" s="3"/>
    </row>
    <row r="182" spans="1:66" s="4" customFormat="1" ht="54.6" customHeight="1" x14ac:dyDescent="0.2">
      <c r="A182" s="28" t="s">
        <v>508</v>
      </c>
      <c r="B182" s="16" t="s">
        <v>212</v>
      </c>
      <c r="C182" s="17" t="s">
        <v>509</v>
      </c>
      <c r="D182" s="50">
        <v>0</v>
      </c>
      <c r="E182" s="136">
        <v>2193.29</v>
      </c>
      <c r="F182" s="84">
        <v>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16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8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BM182" s="3"/>
      <c r="BN182" s="3"/>
    </row>
    <row r="183" spans="1:66" s="4" customFormat="1" ht="68.45" customHeight="1" x14ac:dyDescent="0.2">
      <c r="A183" s="28" t="s">
        <v>215</v>
      </c>
      <c r="B183" s="16" t="s">
        <v>79</v>
      </c>
      <c r="C183" s="72" t="s">
        <v>475</v>
      </c>
      <c r="D183" s="50">
        <v>25451.96</v>
      </c>
      <c r="E183" s="50">
        <v>385680.61</v>
      </c>
      <c r="F183" s="84" t="s">
        <v>562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92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BM183" s="3"/>
      <c r="BN183" s="3"/>
    </row>
    <row r="184" spans="1:66" s="4" customFormat="1" ht="15.6" customHeight="1" x14ac:dyDescent="0.2">
      <c r="A184" s="68" t="s">
        <v>219</v>
      </c>
      <c r="B184" s="16" t="s">
        <v>5</v>
      </c>
      <c r="C184" s="96" t="s">
        <v>220</v>
      </c>
      <c r="D184" s="50">
        <f>+D191+D185</f>
        <v>33185.990000000005</v>
      </c>
      <c r="E184" s="50">
        <f>+E191+E185+E189</f>
        <v>150622.96</v>
      </c>
      <c r="F184" s="84" t="s">
        <v>562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92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BM184" s="3"/>
      <c r="BN184" s="3"/>
    </row>
    <row r="185" spans="1:66" s="4" customFormat="1" ht="85.15" customHeight="1" x14ac:dyDescent="0.2">
      <c r="A185" s="90" t="s">
        <v>456</v>
      </c>
      <c r="B185" s="16" t="s">
        <v>5</v>
      </c>
      <c r="C185" s="72" t="s">
        <v>459</v>
      </c>
      <c r="D185" s="50">
        <f>+D186+D187+D188</f>
        <v>31185.99</v>
      </c>
      <c r="E185" s="50">
        <f>+E186+E187+E188</f>
        <v>145402.69</v>
      </c>
      <c r="F185" s="84" t="s">
        <v>562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92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BM185" s="3"/>
      <c r="BN185" s="3"/>
    </row>
    <row r="186" spans="1:66" s="4" customFormat="1" ht="43.15" customHeight="1" x14ac:dyDescent="0.2">
      <c r="A186" s="90" t="s">
        <v>496</v>
      </c>
      <c r="B186" s="16" t="s">
        <v>79</v>
      </c>
      <c r="C186" s="72" t="s">
        <v>495</v>
      </c>
      <c r="D186" s="50">
        <v>17434.97</v>
      </c>
      <c r="E186" s="137">
        <v>17434.97</v>
      </c>
      <c r="F186" s="84">
        <f t="shared" si="21"/>
        <v>1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92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BM186" s="3"/>
      <c r="BN186" s="3"/>
    </row>
    <row r="187" spans="1:66" s="4" customFormat="1" ht="57" customHeight="1" x14ac:dyDescent="0.2">
      <c r="A187" s="90" t="s">
        <v>457</v>
      </c>
      <c r="B187" s="16" t="s">
        <v>212</v>
      </c>
      <c r="C187" s="72" t="s">
        <v>458</v>
      </c>
      <c r="D187" s="50">
        <v>13751.02</v>
      </c>
      <c r="E187" s="137">
        <v>19365.62</v>
      </c>
      <c r="F187" s="84">
        <f t="shared" si="21"/>
        <v>1.4083042567024118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92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BM187" s="3"/>
      <c r="BN187" s="3"/>
    </row>
    <row r="188" spans="1:66" s="4" customFormat="1" ht="58.9" customHeight="1" x14ac:dyDescent="0.2">
      <c r="A188" s="90" t="s">
        <v>457</v>
      </c>
      <c r="B188" s="16" t="s">
        <v>79</v>
      </c>
      <c r="C188" s="72" t="s">
        <v>510</v>
      </c>
      <c r="D188" s="50">
        <v>0</v>
      </c>
      <c r="E188" s="50">
        <v>108602.1</v>
      </c>
      <c r="F188" s="84">
        <v>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116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BM188" s="3"/>
      <c r="BN188" s="3"/>
    </row>
    <row r="189" spans="1:66" s="4" customFormat="1" ht="45" customHeight="1" x14ac:dyDescent="0.2">
      <c r="A189" s="95" t="s">
        <v>480</v>
      </c>
      <c r="B189" s="16" t="s">
        <v>5</v>
      </c>
      <c r="C189" s="72" t="s">
        <v>479</v>
      </c>
      <c r="D189" s="50">
        <f>+D190</f>
        <v>0</v>
      </c>
      <c r="E189" s="50">
        <f>+E190</f>
        <v>10572.5</v>
      </c>
      <c r="F189" s="84">
        <v>0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92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BM189" s="3"/>
      <c r="BN189" s="3"/>
    </row>
    <row r="190" spans="1:66" s="4" customFormat="1" ht="54.6" customHeight="1" x14ac:dyDescent="0.2">
      <c r="A190" s="95" t="s">
        <v>535</v>
      </c>
      <c r="B190" s="16" t="s">
        <v>256</v>
      </c>
      <c r="C190" s="72" t="s">
        <v>497</v>
      </c>
      <c r="D190" s="50">
        <v>0</v>
      </c>
      <c r="E190" s="111">
        <v>10572.5</v>
      </c>
      <c r="F190" s="84">
        <v>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92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BM190" s="3"/>
      <c r="BN190" s="3"/>
    </row>
    <row r="191" spans="1:66" s="4" customFormat="1" ht="70.150000000000006" customHeight="1" x14ac:dyDescent="0.2">
      <c r="A191" s="28" t="s">
        <v>221</v>
      </c>
      <c r="B191" s="16" t="s">
        <v>5</v>
      </c>
      <c r="C191" s="17" t="s">
        <v>222</v>
      </c>
      <c r="D191" s="50">
        <f>+D192+D197</f>
        <v>2000</v>
      </c>
      <c r="E191" s="50">
        <f>+E192+E197</f>
        <v>-5352.23</v>
      </c>
      <c r="F191" s="84">
        <f t="shared" si="21"/>
        <v>-2.6761149999999998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92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BM191" s="3"/>
      <c r="BN191" s="3"/>
    </row>
    <row r="192" spans="1:66" s="4" customFormat="1" ht="55.9" customHeight="1" x14ac:dyDescent="0.2">
      <c r="A192" s="28" t="s">
        <v>289</v>
      </c>
      <c r="B192" s="16" t="s">
        <v>5</v>
      </c>
      <c r="C192" s="17" t="s">
        <v>224</v>
      </c>
      <c r="D192" s="50">
        <f>+D193+D195+D196+D194</f>
        <v>2000</v>
      </c>
      <c r="E192" s="50">
        <f>+E193+E195+E196+E194</f>
        <v>-9277.23</v>
      </c>
      <c r="F192" s="84">
        <f t="shared" si="21"/>
        <v>-4.6386149999999997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92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BM192" s="3"/>
      <c r="BN192" s="3"/>
    </row>
    <row r="193" spans="1:66" s="4" customFormat="1" ht="109.15" customHeight="1" x14ac:dyDescent="0.2">
      <c r="A193" s="28" t="s">
        <v>223</v>
      </c>
      <c r="B193" s="16" t="s">
        <v>330</v>
      </c>
      <c r="C193" s="17" t="s">
        <v>225</v>
      </c>
      <c r="D193" s="50">
        <v>2000</v>
      </c>
      <c r="E193" s="50">
        <v>0</v>
      </c>
      <c r="F193" s="84">
        <f t="shared" si="21"/>
        <v>0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92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6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BM193" s="3"/>
      <c r="BN193" s="3"/>
    </row>
    <row r="194" spans="1:66" s="4" customFormat="1" ht="109.15" customHeight="1" x14ac:dyDescent="0.2">
      <c r="A194" s="28" t="s">
        <v>223</v>
      </c>
      <c r="B194" s="16" t="s">
        <v>474</v>
      </c>
      <c r="C194" s="17" t="s">
        <v>225</v>
      </c>
      <c r="D194" s="50">
        <v>0</v>
      </c>
      <c r="E194" s="50">
        <v>10</v>
      </c>
      <c r="F194" s="84">
        <v>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92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6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BM194" s="3"/>
      <c r="BN194" s="3"/>
    </row>
    <row r="195" spans="1:66" s="4" customFormat="1" ht="109.15" customHeight="1" x14ac:dyDescent="0.2">
      <c r="A195" s="28" t="s">
        <v>223</v>
      </c>
      <c r="B195" s="16" t="s">
        <v>449</v>
      </c>
      <c r="C195" s="17" t="s">
        <v>225</v>
      </c>
      <c r="D195" s="50">
        <v>0</v>
      </c>
      <c r="E195" s="136">
        <v>-287.23</v>
      </c>
      <c r="F195" s="84">
        <v>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92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6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BM195" s="3"/>
      <c r="BN195" s="3"/>
    </row>
    <row r="196" spans="1:66" s="4" customFormat="1" ht="109.15" customHeight="1" x14ac:dyDescent="0.2">
      <c r="A196" s="28" t="s">
        <v>223</v>
      </c>
      <c r="B196" s="16" t="s">
        <v>212</v>
      </c>
      <c r="C196" s="17" t="s">
        <v>225</v>
      </c>
      <c r="D196" s="50">
        <v>0</v>
      </c>
      <c r="E196" s="136">
        <v>-9000</v>
      </c>
      <c r="F196" s="84">
        <v>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92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6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BM196" s="3"/>
      <c r="BN196" s="3"/>
    </row>
    <row r="197" spans="1:66" s="4" customFormat="1" ht="66" customHeight="1" x14ac:dyDescent="0.2">
      <c r="A197" s="90" t="s">
        <v>460</v>
      </c>
      <c r="B197" s="16" t="s">
        <v>12</v>
      </c>
      <c r="C197" s="72" t="s">
        <v>465</v>
      </c>
      <c r="D197" s="50">
        <v>0</v>
      </c>
      <c r="E197" s="136">
        <v>3925</v>
      </c>
      <c r="F197" s="84">
        <v>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92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6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BM197" s="3"/>
      <c r="BN197" s="3"/>
    </row>
    <row r="198" spans="1:66" s="4" customFormat="1" ht="15.6" customHeight="1" x14ac:dyDescent="0.2">
      <c r="A198" s="28" t="s">
        <v>226</v>
      </c>
      <c r="B198" s="37" t="s">
        <v>5</v>
      </c>
      <c r="C198" s="123" t="s">
        <v>227</v>
      </c>
      <c r="D198" s="50">
        <f t="shared" ref="D198:E199" si="30">+D199</f>
        <v>646182</v>
      </c>
      <c r="E198" s="50">
        <f t="shared" si="30"/>
        <v>57275.23</v>
      </c>
      <c r="F198" s="84">
        <f t="shared" si="21"/>
        <v>8.8636374891284508E-2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92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BM198" s="3"/>
      <c r="BN198" s="3"/>
    </row>
    <row r="199" spans="1:66" s="4" customFormat="1" ht="27.6" customHeight="1" x14ac:dyDescent="0.2">
      <c r="A199" s="28" t="s">
        <v>228</v>
      </c>
      <c r="B199" s="37" t="s">
        <v>5</v>
      </c>
      <c r="C199" s="123" t="s">
        <v>229</v>
      </c>
      <c r="D199" s="50">
        <f t="shared" si="30"/>
        <v>646182</v>
      </c>
      <c r="E199" s="50">
        <f t="shared" si="30"/>
        <v>57275.23</v>
      </c>
      <c r="F199" s="84">
        <f t="shared" si="21"/>
        <v>8.8636374891284508E-2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92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BM199" s="3"/>
      <c r="BN199" s="3"/>
    </row>
    <row r="200" spans="1:66" s="4" customFormat="1" ht="54" customHeight="1" x14ac:dyDescent="0.2">
      <c r="A200" s="28" t="s">
        <v>230</v>
      </c>
      <c r="B200" s="37" t="s">
        <v>79</v>
      </c>
      <c r="C200" s="123" t="s">
        <v>231</v>
      </c>
      <c r="D200" s="50">
        <f>501000+145182</f>
        <v>646182</v>
      </c>
      <c r="E200" s="50">
        <v>57275.23</v>
      </c>
      <c r="F200" s="84">
        <f t="shared" si="21"/>
        <v>8.8636374891284508E-2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92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BM200" s="3"/>
      <c r="BN200" s="3"/>
    </row>
    <row r="201" spans="1:66" s="4" customFormat="1" ht="97.9" customHeight="1" x14ac:dyDescent="0.2">
      <c r="A201" s="28" t="s">
        <v>355</v>
      </c>
      <c r="B201" s="37" t="s">
        <v>12</v>
      </c>
      <c r="C201" s="123" t="s">
        <v>354</v>
      </c>
      <c r="D201" s="50">
        <v>2000000</v>
      </c>
      <c r="E201" s="136">
        <v>763501.3</v>
      </c>
      <c r="F201" s="84">
        <f t="shared" ref="F201:F264" si="31">+E201/D201</f>
        <v>0.38175065000000002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92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BM201" s="3"/>
      <c r="BN201" s="3"/>
    </row>
    <row r="202" spans="1:66" s="4" customFormat="1" ht="18" customHeight="1" x14ac:dyDescent="0.25">
      <c r="A202" s="28" t="s">
        <v>232</v>
      </c>
      <c r="B202" s="16" t="s">
        <v>5</v>
      </c>
      <c r="C202" s="17" t="s">
        <v>233</v>
      </c>
      <c r="D202" s="50">
        <f>+D208+D211+D203</f>
        <v>-1272427.5</v>
      </c>
      <c r="E202" s="50">
        <f>+E208+E211+E203</f>
        <v>1726132.98</v>
      </c>
      <c r="F202" s="84">
        <f t="shared" si="31"/>
        <v>-1.3565668613732413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92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6" s="4" customFormat="1" ht="13.9" customHeight="1" x14ac:dyDescent="0.25">
      <c r="A203" s="90" t="s">
        <v>461</v>
      </c>
      <c r="B203" s="16" t="s">
        <v>5</v>
      </c>
      <c r="C203" s="72" t="s">
        <v>464</v>
      </c>
      <c r="D203" s="50">
        <f>+D204</f>
        <v>0</v>
      </c>
      <c r="E203" s="50">
        <f>+E204</f>
        <v>-255143.53</v>
      </c>
      <c r="F203" s="84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92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6" s="4" customFormat="1" ht="25.5" x14ac:dyDescent="0.25">
      <c r="A204" s="90" t="s">
        <v>462</v>
      </c>
      <c r="B204" s="16" t="s">
        <v>5</v>
      </c>
      <c r="C204" s="72" t="s">
        <v>463</v>
      </c>
      <c r="D204" s="50">
        <f>+D205+D206+D207</f>
        <v>0</v>
      </c>
      <c r="E204" s="50">
        <f>+E205+E206+E207</f>
        <v>-255143.53</v>
      </c>
      <c r="F204" s="84">
        <v>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92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6" s="4" customFormat="1" ht="25.5" x14ac:dyDescent="0.25">
      <c r="A205" s="90" t="s">
        <v>462</v>
      </c>
      <c r="B205" s="16" t="s">
        <v>77</v>
      </c>
      <c r="C205" s="72" t="s">
        <v>463</v>
      </c>
      <c r="D205" s="50">
        <v>0</v>
      </c>
      <c r="E205" s="136">
        <v>1603.59</v>
      </c>
      <c r="F205" s="84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92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6" s="4" customFormat="1" ht="25.5" x14ac:dyDescent="0.25">
      <c r="A206" s="90" t="s">
        <v>462</v>
      </c>
      <c r="B206" s="16" t="s">
        <v>212</v>
      </c>
      <c r="C206" s="72" t="s">
        <v>463</v>
      </c>
      <c r="D206" s="50">
        <v>0</v>
      </c>
      <c r="E206" s="136">
        <v>-13751.02</v>
      </c>
      <c r="F206" s="84">
        <v>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92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6" s="4" customFormat="1" ht="25.5" x14ac:dyDescent="0.25">
      <c r="A207" s="90" t="s">
        <v>462</v>
      </c>
      <c r="B207" s="16" t="s">
        <v>79</v>
      </c>
      <c r="C207" s="72" t="s">
        <v>463</v>
      </c>
      <c r="D207" s="50">
        <v>0</v>
      </c>
      <c r="E207" s="136">
        <v>-242996.1</v>
      </c>
      <c r="F207" s="84">
        <v>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92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6" s="4" customFormat="1" ht="16.149999999999999" customHeight="1" x14ac:dyDescent="0.25">
      <c r="A208" s="28" t="s">
        <v>234</v>
      </c>
      <c r="B208" s="16" t="s">
        <v>5</v>
      </c>
      <c r="C208" s="17" t="s">
        <v>235</v>
      </c>
      <c r="D208" s="50">
        <f t="shared" ref="D208:E209" si="32">+D209</f>
        <v>674636</v>
      </c>
      <c r="E208" s="50">
        <f t="shared" si="32"/>
        <v>543680.01</v>
      </c>
      <c r="F208" s="84">
        <f t="shared" si="31"/>
        <v>0.80588644839587575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92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4" customFormat="1" ht="15.6" customHeight="1" x14ac:dyDescent="0.25">
      <c r="A209" s="28" t="s">
        <v>236</v>
      </c>
      <c r="B209" s="16" t="s">
        <v>5</v>
      </c>
      <c r="C209" s="17" t="s">
        <v>237</v>
      </c>
      <c r="D209" s="50">
        <f t="shared" si="32"/>
        <v>674636</v>
      </c>
      <c r="E209" s="50">
        <f t="shared" si="32"/>
        <v>543680.01</v>
      </c>
      <c r="F209" s="84">
        <f t="shared" si="31"/>
        <v>0.80588644839587575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92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6" s="4" customFormat="1" ht="31.9" customHeight="1" x14ac:dyDescent="0.25">
      <c r="A210" s="49" t="s">
        <v>238</v>
      </c>
      <c r="B210" s="16" t="s">
        <v>77</v>
      </c>
      <c r="C210" s="17" t="s">
        <v>239</v>
      </c>
      <c r="D210" s="50">
        <v>674636</v>
      </c>
      <c r="E210" s="50">
        <v>543680.01</v>
      </c>
      <c r="F210" s="84">
        <f t="shared" si="31"/>
        <v>0.80588644839587575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92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6" s="4" customFormat="1" ht="14.45" customHeight="1" x14ac:dyDescent="0.25">
      <c r="A211" s="49" t="s">
        <v>337</v>
      </c>
      <c r="B211" s="16" t="s">
        <v>5</v>
      </c>
      <c r="C211" s="17" t="s">
        <v>338</v>
      </c>
      <c r="D211" s="50">
        <f>+D212</f>
        <v>-1947063.5</v>
      </c>
      <c r="E211" s="50">
        <f t="shared" ref="E211" si="33">+E212</f>
        <v>1437596.5</v>
      </c>
      <c r="F211" s="84">
        <f t="shared" si="31"/>
        <v>-0.73834083993665334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92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</row>
    <row r="212" spans="1:66" s="4" customFormat="1" ht="29.45" customHeight="1" x14ac:dyDescent="0.25">
      <c r="A212" s="49" t="s">
        <v>339</v>
      </c>
      <c r="B212" s="16" t="s">
        <v>5</v>
      </c>
      <c r="C212" s="17" t="s">
        <v>340</v>
      </c>
      <c r="D212" s="50">
        <f>+D213+D214+D215+D216+D217+D218+D219+D220+D221</f>
        <v>-1947063.5</v>
      </c>
      <c r="E212" s="50">
        <f>+E213+E214+E215+E216+E217+E218+E219+E220+E221+E222+E223+E224+E225+E226+E227+E228+E229</f>
        <v>1437596.5</v>
      </c>
      <c r="F212" s="84">
        <f t="shared" si="31"/>
        <v>-0.73834083993665334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92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BM212" s="3"/>
      <c r="BN212" s="3"/>
    </row>
    <row r="213" spans="1:66" s="4" customFormat="1" ht="27.6" customHeight="1" x14ac:dyDescent="0.25">
      <c r="A213" s="77" t="s">
        <v>341</v>
      </c>
      <c r="B213" s="16" t="s">
        <v>212</v>
      </c>
      <c r="C213" s="81" t="s">
        <v>410</v>
      </c>
      <c r="D213" s="50">
        <v>-225000</v>
      </c>
      <c r="E213" s="136">
        <v>-225000</v>
      </c>
      <c r="F213" s="84">
        <f t="shared" si="31"/>
        <v>1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92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6" s="4" customFormat="1" ht="58.9" customHeight="1" x14ac:dyDescent="0.25">
      <c r="A214" s="77" t="s">
        <v>342</v>
      </c>
      <c r="B214" s="16" t="s">
        <v>212</v>
      </c>
      <c r="C214" s="81" t="s">
        <v>411</v>
      </c>
      <c r="D214" s="50">
        <v>-220000</v>
      </c>
      <c r="E214" s="136">
        <v>-220000</v>
      </c>
      <c r="F214" s="84">
        <f t="shared" si="31"/>
        <v>1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92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6" s="4" customFormat="1" ht="42" customHeight="1" x14ac:dyDescent="0.25">
      <c r="A215" s="77" t="s">
        <v>343</v>
      </c>
      <c r="B215" s="16" t="s">
        <v>212</v>
      </c>
      <c r="C215" s="81" t="s">
        <v>412</v>
      </c>
      <c r="D215" s="50">
        <f>-100000-100328.5</f>
        <v>-200328.5</v>
      </c>
      <c r="E215" s="136">
        <v>-200328.5</v>
      </c>
      <c r="F215" s="84">
        <f t="shared" si="31"/>
        <v>1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92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6" s="4" customFormat="1" ht="69.599999999999994" customHeight="1" x14ac:dyDescent="0.25">
      <c r="A216" s="77" t="s">
        <v>344</v>
      </c>
      <c r="B216" s="16" t="s">
        <v>212</v>
      </c>
      <c r="C216" s="81" t="s">
        <v>413</v>
      </c>
      <c r="D216" s="50">
        <v>-224719</v>
      </c>
      <c r="E216" s="136">
        <v>-224719</v>
      </c>
      <c r="F216" s="84">
        <f t="shared" si="31"/>
        <v>1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92"/>
      <c r="W216" s="3"/>
      <c r="X216" s="3"/>
      <c r="Y216" s="3"/>
      <c r="Z216" s="3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6" s="4" customFormat="1" ht="72" customHeight="1" x14ac:dyDescent="0.25">
      <c r="A217" s="77" t="s">
        <v>345</v>
      </c>
      <c r="B217" s="16" t="s">
        <v>212</v>
      </c>
      <c r="C217" s="81" t="s">
        <v>414</v>
      </c>
      <c r="D217" s="50">
        <v>-224719</v>
      </c>
      <c r="E217" s="136">
        <v>-224719</v>
      </c>
      <c r="F217" s="84">
        <f t="shared" si="31"/>
        <v>1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92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6" s="4" customFormat="1" ht="72" customHeight="1" x14ac:dyDescent="0.25">
      <c r="A218" s="77" t="s">
        <v>346</v>
      </c>
      <c r="B218" s="16" t="s">
        <v>212</v>
      </c>
      <c r="C218" s="81" t="s">
        <v>415</v>
      </c>
      <c r="D218" s="50">
        <v>-178140</v>
      </c>
      <c r="E218" s="136">
        <v>-178140</v>
      </c>
      <c r="F218" s="84">
        <f t="shared" si="31"/>
        <v>1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92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6" s="4" customFormat="1" ht="42" customHeight="1" x14ac:dyDescent="0.25">
      <c r="A219" s="77" t="s">
        <v>347</v>
      </c>
      <c r="B219" s="16" t="s">
        <v>212</v>
      </c>
      <c r="C219" s="81" t="s">
        <v>416</v>
      </c>
      <c r="D219" s="50">
        <v>-224719</v>
      </c>
      <c r="E219" s="136">
        <v>-224719</v>
      </c>
      <c r="F219" s="84">
        <f t="shared" si="31"/>
        <v>1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92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6" s="4" customFormat="1" ht="43.15" customHeight="1" x14ac:dyDescent="0.25">
      <c r="A220" s="77" t="s">
        <v>348</v>
      </c>
      <c r="B220" s="16" t="s">
        <v>212</v>
      </c>
      <c r="C220" s="81" t="s">
        <v>417</v>
      </c>
      <c r="D220" s="50">
        <v>-224719</v>
      </c>
      <c r="E220" s="136">
        <v>-224719</v>
      </c>
      <c r="F220" s="84">
        <f t="shared" si="31"/>
        <v>1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92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BM220" s="3"/>
      <c r="BN220" s="3"/>
    </row>
    <row r="221" spans="1:66" s="4" customFormat="1" ht="42.6" customHeight="1" x14ac:dyDescent="0.25">
      <c r="A221" s="77" t="s">
        <v>349</v>
      </c>
      <c r="B221" s="16" t="s">
        <v>212</v>
      </c>
      <c r="C221" s="81" t="s">
        <v>418</v>
      </c>
      <c r="D221" s="50">
        <v>-224719</v>
      </c>
      <c r="E221" s="136">
        <v>-224719</v>
      </c>
      <c r="F221" s="84">
        <f t="shared" si="31"/>
        <v>1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92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6" s="4" customFormat="1" ht="42.6" customHeight="1" x14ac:dyDescent="0.25">
      <c r="A222" s="77" t="s">
        <v>514</v>
      </c>
      <c r="B222" s="16" t="s">
        <v>212</v>
      </c>
      <c r="C222" s="81" t="s">
        <v>536</v>
      </c>
      <c r="D222" s="50">
        <v>0</v>
      </c>
      <c r="E222" s="136">
        <v>734660</v>
      </c>
      <c r="F222" s="84">
        <v>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122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6" s="4" customFormat="1" ht="50.45" customHeight="1" x14ac:dyDescent="0.25">
      <c r="A223" s="77" t="s">
        <v>515</v>
      </c>
      <c r="B223" s="16" t="s">
        <v>212</v>
      </c>
      <c r="C223" s="81" t="s">
        <v>537</v>
      </c>
      <c r="D223" s="50">
        <v>0</v>
      </c>
      <c r="E223" s="136">
        <v>500000</v>
      </c>
      <c r="F223" s="84">
        <v>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122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6" s="4" customFormat="1" ht="55.9" customHeight="1" x14ac:dyDescent="0.25">
      <c r="A224" s="77" t="s">
        <v>516</v>
      </c>
      <c r="B224" s="16" t="s">
        <v>212</v>
      </c>
      <c r="C224" s="81" t="s">
        <v>538</v>
      </c>
      <c r="D224" s="50">
        <v>0</v>
      </c>
      <c r="E224" s="136">
        <v>500000</v>
      </c>
      <c r="F224" s="84">
        <v>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122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6" s="4" customFormat="1" ht="42.6" customHeight="1" x14ac:dyDescent="0.25">
      <c r="A225" s="77" t="s">
        <v>517</v>
      </c>
      <c r="B225" s="16" t="s">
        <v>212</v>
      </c>
      <c r="C225" s="81" t="s">
        <v>539</v>
      </c>
      <c r="D225" s="50">
        <v>0</v>
      </c>
      <c r="E225" s="136">
        <v>500000</v>
      </c>
      <c r="F225" s="84">
        <v>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122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6" s="4" customFormat="1" ht="42.6" customHeight="1" x14ac:dyDescent="0.25">
      <c r="A226" s="77" t="s">
        <v>518</v>
      </c>
      <c r="B226" s="16" t="s">
        <v>212</v>
      </c>
      <c r="C226" s="81" t="s">
        <v>540</v>
      </c>
      <c r="D226" s="50">
        <v>0</v>
      </c>
      <c r="E226" s="136">
        <v>500000</v>
      </c>
      <c r="F226" s="84">
        <v>0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122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6" s="4" customFormat="1" ht="56.45" customHeight="1" x14ac:dyDescent="0.25">
      <c r="A227" s="77" t="s">
        <v>519</v>
      </c>
      <c r="B227" s="16" t="s">
        <v>212</v>
      </c>
      <c r="C227" s="81" t="s">
        <v>541</v>
      </c>
      <c r="D227" s="50">
        <v>0</v>
      </c>
      <c r="E227" s="136">
        <v>300000</v>
      </c>
      <c r="F227" s="84">
        <v>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122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" customFormat="1" ht="42.6" customHeight="1" x14ac:dyDescent="0.25">
      <c r="A228" s="77" t="s">
        <v>520</v>
      </c>
      <c r="B228" s="16" t="s">
        <v>212</v>
      </c>
      <c r="C228" s="81" t="s">
        <v>542</v>
      </c>
      <c r="D228" s="50">
        <v>0</v>
      </c>
      <c r="E228" s="136">
        <v>150000</v>
      </c>
      <c r="F228" s="84">
        <v>0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122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6" s="4" customFormat="1" ht="42.6" customHeight="1" x14ac:dyDescent="0.25">
      <c r="A229" s="77" t="s">
        <v>521</v>
      </c>
      <c r="B229" s="16" t="s">
        <v>212</v>
      </c>
      <c r="C229" s="81" t="s">
        <v>543</v>
      </c>
      <c r="D229" s="50">
        <v>0</v>
      </c>
      <c r="E229" s="136">
        <v>200000</v>
      </c>
      <c r="F229" s="84">
        <v>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122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</row>
    <row r="230" spans="1:66" s="4" customFormat="1" ht="15" customHeight="1" x14ac:dyDescent="0.25">
      <c r="A230" s="49" t="s">
        <v>240</v>
      </c>
      <c r="B230" s="16" t="s">
        <v>5</v>
      </c>
      <c r="C230" s="17" t="s">
        <v>241</v>
      </c>
      <c r="D230" s="50">
        <f>+D231+D306+D313</f>
        <v>3162033451.1300001</v>
      </c>
      <c r="E230" s="50">
        <f>+E231+E306+E313</f>
        <v>2145183419.8</v>
      </c>
      <c r="F230" s="84">
        <f t="shared" si="31"/>
        <v>0.67841895190368284</v>
      </c>
      <c r="G230" s="3"/>
      <c r="H230" s="25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122"/>
      <c r="W230" s="3"/>
      <c r="X230" s="3"/>
      <c r="Y230" s="3"/>
      <c r="Z230" s="3"/>
      <c r="AB230" s="12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29.45" customHeight="1" x14ac:dyDescent="0.25">
      <c r="A231" s="69" t="s">
        <v>242</v>
      </c>
      <c r="B231" s="16" t="s">
        <v>5</v>
      </c>
      <c r="C231" s="17" t="s">
        <v>243</v>
      </c>
      <c r="D231" s="50">
        <f>+D277+D232+D237+D297</f>
        <v>3162044333.5999999</v>
      </c>
      <c r="E231" s="50">
        <f>+E277+E232+E237+E297</f>
        <v>2145194302.27</v>
      </c>
      <c r="F231" s="84">
        <f t="shared" si="31"/>
        <v>0.67842005865480315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122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BM231" s="3"/>
      <c r="BN231" s="3"/>
    </row>
    <row r="232" spans="1:66" s="4" customFormat="1" ht="15.6" customHeight="1" x14ac:dyDescent="0.25">
      <c r="A232" s="69" t="s">
        <v>244</v>
      </c>
      <c r="B232" s="16" t="s">
        <v>5</v>
      </c>
      <c r="C232" s="17" t="s">
        <v>245</v>
      </c>
      <c r="D232" s="50">
        <f>+D233+D235</f>
        <v>149435200</v>
      </c>
      <c r="E232" s="50">
        <f t="shared" ref="E232" si="34">+E233+E235</f>
        <v>147592000</v>
      </c>
      <c r="F232" s="84">
        <f t="shared" si="31"/>
        <v>0.98766555670953027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122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19.899999999999999" customHeight="1" x14ac:dyDescent="0.25">
      <c r="A233" s="70" t="s">
        <v>246</v>
      </c>
      <c r="B233" s="16" t="s">
        <v>5</v>
      </c>
      <c r="C233" s="29" t="s">
        <v>247</v>
      </c>
      <c r="D233" s="50">
        <f>+D234</f>
        <v>44904800</v>
      </c>
      <c r="E233" s="50">
        <f t="shared" ref="E233" si="35">+E234</f>
        <v>44904800</v>
      </c>
      <c r="F233" s="84">
        <f t="shared" si="31"/>
        <v>1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92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6" s="4" customFormat="1" ht="40.9" customHeight="1" x14ac:dyDescent="0.25">
      <c r="A234" s="70" t="s">
        <v>248</v>
      </c>
      <c r="B234" s="16" t="s">
        <v>249</v>
      </c>
      <c r="C234" s="17" t="s">
        <v>250</v>
      </c>
      <c r="D234" s="50">
        <v>44904800</v>
      </c>
      <c r="E234" s="136">
        <v>44904800</v>
      </c>
      <c r="F234" s="84">
        <f t="shared" si="31"/>
        <v>1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92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6" s="4" customFormat="1" ht="31.9" customHeight="1" x14ac:dyDescent="0.25">
      <c r="A235" s="28" t="s">
        <v>377</v>
      </c>
      <c r="B235" s="16" t="s">
        <v>5</v>
      </c>
      <c r="C235" s="57" t="s">
        <v>379</v>
      </c>
      <c r="D235" s="50">
        <f>+D236</f>
        <v>104530400</v>
      </c>
      <c r="E235" s="60">
        <f t="shared" ref="E235" si="36">+E236</f>
        <v>102687200</v>
      </c>
      <c r="F235" s="84">
        <f t="shared" si="31"/>
        <v>0.98236685213105468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92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6" s="4" customFormat="1" ht="31.15" customHeight="1" x14ac:dyDescent="0.25">
      <c r="A236" s="70" t="s">
        <v>544</v>
      </c>
      <c r="B236" s="16" t="s">
        <v>249</v>
      </c>
      <c r="C236" s="17" t="s">
        <v>378</v>
      </c>
      <c r="D236" s="50">
        <v>104530400</v>
      </c>
      <c r="E236" s="135">
        <v>102687200</v>
      </c>
      <c r="F236" s="84">
        <f t="shared" si="31"/>
        <v>0.98236685213105468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92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6" s="4" customFormat="1" ht="31.15" customHeight="1" x14ac:dyDescent="0.25">
      <c r="A237" s="49" t="s">
        <v>251</v>
      </c>
      <c r="B237" s="16" t="s">
        <v>5</v>
      </c>
      <c r="C237" s="16" t="s">
        <v>252</v>
      </c>
      <c r="D237" s="50">
        <f>+D238+D240+D242+D244+D248+D250+D246+D252+D254+D256+D258</f>
        <v>856017033.5999999</v>
      </c>
      <c r="E237" s="50">
        <f>E238+E240+E242+E244+E248+E250+E246+E252+E254+E256+E258</f>
        <v>517260255.17999995</v>
      </c>
      <c r="F237" s="84">
        <f t="shared" si="31"/>
        <v>0.6042639747536912</v>
      </c>
      <c r="G237" s="3"/>
      <c r="H237" s="25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92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6" s="87" customFormat="1" ht="95.45" customHeight="1" x14ac:dyDescent="0.25">
      <c r="A238" s="90" t="s">
        <v>466</v>
      </c>
      <c r="B238" s="16" t="s">
        <v>5</v>
      </c>
      <c r="C238" s="72" t="s">
        <v>469</v>
      </c>
      <c r="D238" s="50">
        <f>+D239</f>
        <v>25400500</v>
      </c>
      <c r="E238" s="50">
        <f>+E239</f>
        <v>18578546</v>
      </c>
      <c r="F238" s="84">
        <f t="shared" si="31"/>
        <v>0.73142442077911851</v>
      </c>
      <c r="G238" s="85"/>
      <c r="H238" s="86"/>
      <c r="I238" s="85"/>
      <c r="J238" s="85"/>
      <c r="K238" s="85"/>
      <c r="L238" s="85"/>
      <c r="M238" s="85"/>
      <c r="N238" s="85"/>
      <c r="O238" s="85"/>
      <c r="P238" s="85"/>
      <c r="Q238" s="85"/>
      <c r="R238" s="85"/>
      <c r="S238" s="85"/>
      <c r="T238" s="85"/>
      <c r="U238" s="85"/>
      <c r="V238" s="85"/>
      <c r="W238" s="85"/>
      <c r="X238" s="85"/>
      <c r="Y238" s="85"/>
      <c r="Z238" s="85"/>
      <c r="AC238" s="88"/>
      <c r="AD238" s="88"/>
      <c r="AE238" s="88"/>
      <c r="AF238" s="88"/>
      <c r="AG238" s="88"/>
      <c r="AH238" s="88"/>
      <c r="AI238" s="85"/>
      <c r="AJ238" s="85"/>
      <c r="AK238" s="85"/>
      <c r="AL238" s="85"/>
      <c r="AM238" s="85"/>
      <c r="AN238" s="85"/>
      <c r="AO238" s="85"/>
      <c r="AP238" s="85"/>
      <c r="AQ238" s="85"/>
      <c r="AR238" s="89"/>
      <c r="AS238" s="89"/>
      <c r="AT238" s="85"/>
      <c r="AU238" s="85"/>
      <c r="AV238" s="85"/>
      <c r="AW238" s="85"/>
      <c r="BM238" s="85"/>
      <c r="BN238" s="85"/>
    </row>
    <row r="239" spans="1:66" s="87" customFormat="1" ht="95.45" customHeight="1" x14ac:dyDescent="0.25">
      <c r="A239" s="90" t="s">
        <v>467</v>
      </c>
      <c r="B239" s="16" t="s">
        <v>79</v>
      </c>
      <c r="C239" s="72" t="s">
        <v>468</v>
      </c>
      <c r="D239" s="50">
        <v>25400500</v>
      </c>
      <c r="E239" s="60">
        <v>18578546</v>
      </c>
      <c r="F239" s="84">
        <f t="shared" si="31"/>
        <v>0.73142442077911851</v>
      </c>
      <c r="G239" s="85"/>
      <c r="H239" s="86"/>
      <c r="I239" s="85"/>
      <c r="J239" s="85"/>
      <c r="K239" s="85"/>
      <c r="L239" s="85"/>
      <c r="M239" s="85"/>
      <c r="N239" s="85"/>
      <c r="O239" s="85"/>
      <c r="P239" s="85"/>
      <c r="Q239" s="85"/>
      <c r="R239" s="85"/>
      <c r="S239" s="85"/>
      <c r="T239" s="85"/>
      <c r="U239" s="85"/>
      <c r="V239" s="85"/>
      <c r="W239" s="85"/>
      <c r="X239" s="85"/>
      <c r="Y239" s="85"/>
      <c r="Z239" s="85"/>
      <c r="AC239" s="88"/>
      <c r="AD239" s="88"/>
      <c r="AE239" s="88"/>
      <c r="AF239" s="88"/>
      <c r="AG239" s="88"/>
      <c r="AH239" s="88"/>
      <c r="AI239" s="85"/>
      <c r="AJ239" s="85"/>
      <c r="AK239" s="85"/>
      <c r="AL239" s="85"/>
      <c r="AM239" s="85"/>
      <c r="AN239" s="85"/>
      <c r="AO239" s="85"/>
      <c r="AP239" s="85"/>
      <c r="AQ239" s="85"/>
      <c r="AR239" s="89"/>
      <c r="AS239" s="89"/>
      <c r="AT239" s="85"/>
      <c r="AU239" s="85"/>
      <c r="AV239" s="85"/>
      <c r="AW239" s="85"/>
      <c r="BM239" s="85"/>
      <c r="BN239" s="85"/>
    </row>
    <row r="240" spans="1:66" s="87" customFormat="1" ht="30" customHeight="1" x14ac:dyDescent="0.25">
      <c r="A240" s="90" t="s">
        <v>499</v>
      </c>
      <c r="B240" s="16" t="s">
        <v>5</v>
      </c>
      <c r="C240" s="72" t="s">
        <v>498</v>
      </c>
      <c r="D240" s="50">
        <f>+D241</f>
        <v>184748</v>
      </c>
      <c r="E240" s="50">
        <f>+E241</f>
        <v>184748</v>
      </c>
      <c r="F240" s="84">
        <f t="shared" si="31"/>
        <v>1</v>
      </c>
      <c r="G240" s="85"/>
      <c r="H240" s="86"/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85"/>
      <c r="U240" s="85"/>
      <c r="V240" s="85"/>
      <c r="W240" s="85"/>
      <c r="X240" s="85"/>
      <c r="Y240" s="85"/>
      <c r="Z240" s="85"/>
      <c r="AC240" s="88"/>
      <c r="AD240" s="88"/>
      <c r="AE240" s="88"/>
      <c r="AF240" s="88"/>
      <c r="AG240" s="88"/>
      <c r="AH240" s="88"/>
      <c r="AI240" s="85"/>
      <c r="AJ240" s="85"/>
      <c r="AK240" s="85"/>
      <c r="AL240" s="85"/>
      <c r="AM240" s="85"/>
      <c r="AN240" s="85"/>
      <c r="AO240" s="85"/>
      <c r="AP240" s="85"/>
      <c r="AQ240" s="85"/>
      <c r="AR240" s="89"/>
      <c r="AS240" s="89"/>
      <c r="AT240" s="85"/>
      <c r="AU240" s="85"/>
      <c r="AV240" s="85"/>
      <c r="AW240" s="85"/>
      <c r="BM240" s="85"/>
      <c r="BN240" s="85"/>
    </row>
    <row r="241" spans="1:66" s="87" customFormat="1" ht="48.75" customHeight="1" x14ac:dyDescent="0.25">
      <c r="A241" s="90" t="s">
        <v>485</v>
      </c>
      <c r="B241" s="16" t="s">
        <v>271</v>
      </c>
      <c r="C241" s="72" t="s">
        <v>486</v>
      </c>
      <c r="D241" s="50">
        <v>184748</v>
      </c>
      <c r="E241" s="50">
        <v>184748</v>
      </c>
      <c r="F241" s="84">
        <f t="shared" si="31"/>
        <v>1</v>
      </c>
      <c r="G241" s="85"/>
      <c r="H241" s="86"/>
      <c r="I241" s="85"/>
      <c r="J241" s="85"/>
      <c r="K241" s="85"/>
      <c r="L241" s="85"/>
      <c r="M241" s="85"/>
      <c r="N241" s="85"/>
      <c r="O241" s="85"/>
      <c r="P241" s="85"/>
      <c r="Q241" s="85"/>
      <c r="R241" s="85"/>
      <c r="S241" s="85"/>
      <c r="T241" s="85"/>
      <c r="U241" s="85"/>
      <c r="V241" s="85"/>
      <c r="W241" s="85"/>
      <c r="X241" s="85"/>
      <c r="Y241" s="85"/>
      <c r="Z241" s="85"/>
      <c r="AC241" s="88"/>
      <c r="AD241" s="88"/>
      <c r="AE241" s="88"/>
      <c r="AF241" s="88"/>
      <c r="AG241" s="88"/>
      <c r="AH241" s="88"/>
      <c r="AI241" s="85"/>
      <c r="AJ241" s="85"/>
      <c r="AK241" s="85"/>
      <c r="AL241" s="85"/>
      <c r="AM241" s="85"/>
      <c r="AN241" s="85"/>
      <c r="AO241" s="85"/>
      <c r="AP241" s="85"/>
      <c r="AQ241" s="85"/>
      <c r="AR241" s="89"/>
      <c r="AS241" s="89"/>
      <c r="AT241" s="85"/>
      <c r="AU241" s="85"/>
      <c r="AV241" s="85"/>
      <c r="AW241" s="85"/>
      <c r="BM241" s="85"/>
      <c r="BN241" s="85"/>
    </row>
    <row r="242" spans="1:66" s="87" customFormat="1" ht="42.6" customHeight="1" x14ac:dyDescent="0.25">
      <c r="A242" s="90" t="s">
        <v>470</v>
      </c>
      <c r="B242" s="16" t="s">
        <v>5</v>
      </c>
      <c r="C242" s="72" t="s">
        <v>472</v>
      </c>
      <c r="D242" s="50">
        <f>+D243</f>
        <v>14840000</v>
      </c>
      <c r="E242" s="50">
        <f>+E243</f>
        <v>14840000</v>
      </c>
      <c r="F242" s="84">
        <f t="shared" si="31"/>
        <v>1</v>
      </c>
      <c r="G242" s="85"/>
      <c r="H242" s="86"/>
      <c r="I242" s="85"/>
      <c r="J242" s="85"/>
      <c r="K242" s="85"/>
      <c r="L242" s="85"/>
      <c r="M242" s="85"/>
      <c r="N242" s="85"/>
      <c r="O242" s="85"/>
      <c r="P242" s="85"/>
      <c r="Q242" s="85"/>
      <c r="R242" s="85"/>
      <c r="S242" s="85"/>
      <c r="T242" s="85"/>
      <c r="U242" s="85"/>
      <c r="V242" s="85"/>
      <c r="W242" s="85"/>
      <c r="X242" s="85"/>
      <c r="Y242" s="85"/>
      <c r="Z242" s="85"/>
      <c r="AC242" s="88"/>
      <c r="AD242" s="88"/>
      <c r="AE242" s="88"/>
      <c r="AF242" s="88"/>
      <c r="AG242" s="88"/>
      <c r="AH242" s="88"/>
      <c r="AI242" s="85"/>
      <c r="AJ242" s="85"/>
      <c r="AK242" s="85"/>
      <c r="AL242" s="85"/>
      <c r="AM242" s="85"/>
      <c r="AN242" s="85"/>
      <c r="AO242" s="85"/>
      <c r="AP242" s="85"/>
      <c r="AQ242" s="85"/>
      <c r="AR242" s="89"/>
      <c r="AS242" s="89"/>
      <c r="AT242" s="85"/>
      <c r="AU242" s="85"/>
      <c r="AV242" s="85"/>
      <c r="AW242" s="85"/>
      <c r="BM242" s="85"/>
      <c r="BN242" s="85"/>
    </row>
    <row r="243" spans="1:66" s="87" customFormat="1" ht="40.9" customHeight="1" x14ac:dyDescent="0.25">
      <c r="A243" s="90" t="s">
        <v>471</v>
      </c>
      <c r="B243" s="16" t="s">
        <v>271</v>
      </c>
      <c r="C243" s="72" t="s">
        <v>473</v>
      </c>
      <c r="D243" s="50">
        <v>14840000</v>
      </c>
      <c r="E243" s="50">
        <v>14840000</v>
      </c>
      <c r="F243" s="84">
        <f t="shared" si="31"/>
        <v>1</v>
      </c>
      <c r="G243" s="85"/>
      <c r="H243" s="86"/>
      <c r="I243" s="85"/>
      <c r="J243" s="85"/>
      <c r="K243" s="85"/>
      <c r="L243" s="85"/>
      <c r="M243" s="85"/>
      <c r="N243" s="85"/>
      <c r="O243" s="85"/>
      <c r="P243" s="85"/>
      <c r="Q243" s="85"/>
      <c r="R243" s="85"/>
      <c r="S243" s="85"/>
      <c r="T243" s="85"/>
      <c r="U243" s="85"/>
      <c r="V243" s="85"/>
      <c r="W243" s="85"/>
      <c r="X243" s="85"/>
      <c r="Y243" s="85"/>
      <c r="Z243" s="85"/>
      <c r="AC243" s="88"/>
      <c r="AD243" s="88"/>
      <c r="AE243" s="88"/>
      <c r="AF243" s="88"/>
      <c r="AG243" s="88"/>
      <c r="AH243" s="88"/>
      <c r="AI243" s="85"/>
      <c r="AJ243" s="85"/>
      <c r="AK243" s="85"/>
      <c r="AL243" s="85"/>
      <c r="AM243" s="85"/>
      <c r="AN243" s="85"/>
      <c r="AO243" s="85"/>
      <c r="AP243" s="85"/>
      <c r="AQ243" s="85"/>
      <c r="AR243" s="89"/>
      <c r="AS243" s="89"/>
      <c r="AT243" s="85"/>
      <c r="AU243" s="85"/>
      <c r="AV243" s="85"/>
      <c r="AW243" s="85"/>
      <c r="BM243" s="85"/>
      <c r="BN243" s="85"/>
    </row>
    <row r="244" spans="1:66" s="4" customFormat="1" ht="57" customHeight="1" x14ac:dyDescent="0.25">
      <c r="A244" s="126" t="s">
        <v>253</v>
      </c>
      <c r="B244" s="58" t="s">
        <v>5</v>
      </c>
      <c r="C244" s="58" t="s">
        <v>254</v>
      </c>
      <c r="D244" s="50">
        <f t="shared" ref="D244:E244" si="37">+D245</f>
        <v>56916500</v>
      </c>
      <c r="E244" s="50">
        <f t="shared" si="37"/>
        <v>25968534.140000001</v>
      </c>
      <c r="F244" s="84">
        <f t="shared" si="31"/>
        <v>0.45625669428021753</v>
      </c>
      <c r="G244" s="3"/>
      <c r="H244" s="25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92"/>
      <c r="W244" s="3"/>
      <c r="X244" s="3"/>
      <c r="Y244" s="3"/>
      <c r="Z244" s="3"/>
      <c r="AC244" s="5"/>
      <c r="AD244" s="5"/>
      <c r="AE244" s="5"/>
      <c r="AF244" s="5"/>
      <c r="AG244" s="5"/>
      <c r="AH244" s="5"/>
      <c r="AI244" s="3"/>
      <c r="AJ244" s="3"/>
      <c r="AK244" s="3"/>
      <c r="AL244" s="3"/>
      <c r="AM244" s="3"/>
      <c r="AN244" s="3"/>
      <c r="AO244" s="3"/>
      <c r="AP244" s="3"/>
      <c r="AQ244" s="3"/>
      <c r="AR244" s="6"/>
      <c r="AS244" s="6"/>
      <c r="AT244" s="3"/>
      <c r="AU244" s="3"/>
      <c r="AV244" s="3"/>
      <c r="AW244" s="3"/>
      <c r="BM244" s="3"/>
      <c r="BN244" s="3"/>
    </row>
    <row r="245" spans="1:66" s="4" customFormat="1" ht="55.9" customHeight="1" x14ac:dyDescent="0.25">
      <c r="A245" s="126" t="s">
        <v>255</v>
      </c>
      <c r="B245" s="58" t="s">
        <v>256</v>
      </c>
      <c r="C245" s="58" t="s">
        <v>257</v>
      </c>
      <c r="D245" s="50">
        <f>57764900-848400</f>
        <v>56916500</v>
      </c>
      <c r="E245" s="136">
        <v>25968534.140000001</v>
      </c>
      <c r="F245" s="84">
        <f t="shared" si="31"/>
        <v>0.45625669428021753</v>
      </c>
      <c r="G245" s="3"/>
      <c r="H245" s="25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92"/>
      <c r="W245" s="3"/>
      <c r="X245" s="3"/>
      <c r="Y245" s="3"/>
      <c r="Z245" s="3"/>
      <c r="AC245" s="5"/>
      <c r="AD245" s="5"/>
      <c r="AE245" s="5"/>
      <c r="AF245" s="5"/>
      <c r="AG245" s="5"/>
      <c r="AH245" s="5"/>
      <c r="AI245" s="3"/>
      <c r="AJ245" s="3"/>
      <c r="AK245" s="3"/>
      <c r="AL245" s="3"/>
      <c r="AM245" s="3"/>
      <c r="AN245" s="3"/>
      <c r="AO245" s="3"/>
      <c r="AP245" s="3"/>
      <c r="AQ245" s="3"/>
      <c r="AR245" s="6"/>
      <c r="AS245" s="6"/>
      <c r="AT245" s="3"/>
      <c r="AU245" s="3"/>
      <c r="AV245" s="3"/>
      <c r="AW245" s="3"/>
      <c r="BM245" s="3"/>
      <c r="BN245" s="3"/>
    </row>
    <row r="246" spans="1:66" s="4" customFormat="1" ht="56.45" customHeight="1" x14ac:dyDescent="0.25">
      <c r="A246" s="127" t="s">
        <v>258</v>
      </c>
      <c r="B246" s="37" t="s">
        <v>5</v>
      </c>
      <c r="C246" s="37" t="s">
        <v>259</v>
      </c>
      <c r="D246" s="50">
        <f>D247</f>
        <v>2783996.86</v>
      </c>
      <c r="E246" s="50">
        <f>E247</f>
        <v>2783996.86</v>
      </c>
      <c r="F246" s="84">
        <f t="shared" si="31"/>
        <v>1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92"/>
      <c r="W246" s="3"/>
      <c r="X246" s="3"/>
      <c r="Y246" s="3"/>
      <c r="Z246" s="3"/>
      <c r="AC246" s="5"/>
      <c r="AD246" s="5"/>
      <c r="AE246" s="5"/>
      <c r="AF246" s="5"/>
      <c r="AG246" s="5"/>
      <c r="AH246" s="5"/>
      <c r="AI246" s="3"/>
      <c r="AJ246" s="3"/>
      <c r="AK246" s="3"/>
      <c r="AL246" s="3"/>
      <c r="AM246" s="3"/>
      <c r="AN246" s="3"/>
      <c r="AO246" s="3"/>
      <c r="AP246" s="3"/>
      <c r="AQ246" s="3"/>
      <c r="AR246" s="6"/>
      <c r="AS246" s="6"/>
      <c r="AT246" s="3"/>
      <c r="AU246" s="3"/>
      <c r="AV246" s="3"/>
      <c r="AW246" s="3"/>
      <c r="BM246" s="3"/>
      <c r="BN246" s="3"/>
    </row>
    <row r="247" spans="1:66" s="4" customFormat="1" ht="55.15" customHeight="1" x14ac:dyDescent="0.25">
      <c r="A247" s="127" t="s">
        <v>260</v>
      </c>
      <c r="B247" s="16" t="s">
        <v>261</v>
      </c>
      <c r="C247" s="16" t="s">
        <v>262</v>
      </c>
      <c r="D247" s="50">
        <f>2784000-3.14</f>
        <v>2783996.86</v>
      </c>
      <c r="E247" s="136">
        <v>2783996.86</v>
      </c>
      <c r="F247" s="84">
        <f t="shared" si="31"/>
        <v>1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92"/>
      <c r="W247" s="3"/>
      <c r="X247" s="3"/>
      <c r="Y247" s="3"/>
      <c r="Z247" s="3"/>
      <c r="AC247" s="5"/>
      <c r="AD247" s="5"/>
      <c r="AE247" s="5"/>
      <c r="AF247" s="5"/>
      <c r="AG247" s="5"/>
      <c r="AH247" s="5"/>
      <c r="AI247" s="3"/>
      <c r="AJ247" s="3"/>
      <c r="AK247" s="3"/>
      <c r="AL247" s="3"/>
      <c r="AM247" s="3"/>
      <c r="AN247" s="3"/>
      <c r="AO247" s="3"/>
      <c r="AP247" s="3"/>
      <c r="AQ247" s="3"/>
      <c r="AR247" s="6"/>
      <c r="AS247" s="6"/>
      <c r="AT247" s="3"/>
      <c r="AU247" s="3"/>
      <c r="AV247" s="3"/>
      <c r="AW247" s="3"/>
      <c r="BM247" s="3"/>
      <c r="BN247" s="3"/>
    </row>
    <row r="248" spans="1:66" s="4" customFormat="1" ht="30.6" customHeight="1" x14ac:dyDescent="0.25">
      <c r="A248" s="127" t="s">
        <v>393</v>
      </c>
      <c r="B248" s="16" t="s">
        <v>5</v>
      </c>
      <c r="C248" s="16" t="s">
        <v>394</v>
      </c>
      <c r="D248" s="50">
        <f>+D249</f>
        <v>17274741.66</v>
      </c>
      <c r="E248" s="50">
        <f t="shared" ref="E248" si="38">+E249</f>
        <v>17274739.620000001</v>
      </c>
      <c r="F248" s="84">
        <f t="shared" si="31"/>
        <v>0.99999988190850897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92"/>
      <c r="W248" s="3"/>
      <c r="X248" s="3"/>
      <c r="Y248" s="3"/>
      <c r="Z248" s="3"/>
      <c r="AC248" s="5"/>
      <c r="AD248" s="5"/>
      <c r="AE248" s="5"/>
      <c r="AF248" s="5"/>
      <c r="AG248" s="5"/>
      <c r="AH248" s="5"/>
      <c r="AI248" s="3"/>
      <c r="AJ248" s="3"/>
      <c r="AK248" s="3"/>
      <c r="AL248" s="3"/>
      <c r="AM248" s="3"/>
      <c r="AN248" s="3"/>
      <c r="AO248" s="3"/>
      <c r="AP248" s="3"/>
      <c r="AQ248" s="3"/>
      <c r="AR248" s="6"/>
      <c r="AS248" s="6"/>
      <c r="AT248" s="3"/>
      <c r="AU248" s="3"/>
      <c r="AV248" s="3"/>
      <c r="AW248" s="3"/>
      <c r="BM248" s="3"/>
      <c r="BN248" s="3"/>
    </row>
    <row r="249" spans="1:66" s="4" customFormat="1" ht="27.6" customHeight="1" x14ac:dyDescent="0.25">
      <c r="A249" s="127" t="s">
        <v>391</v>
      </c>
      <c r="B249" s="16" t="s">
        <v>271</v>
      </c>
      <c r="C249" s="16" t="s">
        <v>392</v>
      </c>
      <c r="D249" s="50">
        <v>17274741.66</v>
      </c>
      <c r="E249" s="136">
        <v>17274739.620000001</v>
      </c>
      <c r="F249" s="84">
        <f t="shared" si="31"/>
        <v>0.99999988190850897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92"/>
      <c r="W249" s="3"/>
      <c r="X249" s="3"/>
      <c r="Y249" s="3"/>
      <c r="Z249" s="3"/>
      <c r="AC249" s="5"/>
      <c r="AD249" s="5"/>
      <c r="AE249" s="5"/>
      <c r="AF249" s="5"/>
      <c r="AG249" s="5"/>
      <c r="AH249" s="5"/>
      <c r="AI249" s="3"/>
      <c r="AJ249" s="3"/>
      <c r="AK249" s="3"/>
      <c r="AL249" s="3"/>
      <c r="AM249" s="3"/>
      <c r="AN249" s="3"/>
      <c r="AO249" s="3"/>
      <c r="AP249" s="3"/>
      <c r="AQ249" s="3"/>
      <c r="AR249" s="6"/>
      <c r="AS249" s="6"/>
      <c r="AT249" s="3"/>
      <c r="AU249" s="3"/>
      <c r="AV249" s="3"/>
      <c r="AW249" s="3"/>
      <c r="BM249" s="3"/>
      <c r="BN249" s="3"/>
    </row>
    <row r="250" spans="1:66" s="4" customFormat="1" ht="17.45" customHeight="1" x14ac:dyDescent="0.25">
      <c r="A250" s="127" t="s">
        <v>312</v>
      </c>
      <c r="B250" s="16" t="s">
        <v>5</v>
      </c>
      <c r="C250" s="16" t="s">
        <v>313</v>
      </c>
      <c r="D250" s="50">
        <f t="shared" ref="D250:E250" si="39">+D251</f>
        <v>444780</v>
      </c>
      <c r="E250" s="50">
        <f t="shared" si="39"/>
        <v>444780</v>
      </c>
      <c r="F250" s="84">
        <f t="shared" si="31"/>
        <v>1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92"/>
      <c r="W250" s="3"/>
      <c r="X250" s="3"/>
      <c r="Y250" s="3"/>
      <c r="Z250" s="3"/>
      <c r="AC250" s="5"/>
      <c r="AD250" s="5"/>
      <c r="AE250" s="5"/>
      <c r="AF250" s="5"/>
      <c r="AG250" s="5"/>
      <c r="AH250" s="5"/>
      <c r="AI250" s="3"/>
      <c r="AJ250" s="3"/>
      <c r="AK250" s="3"/>
      <c r="AL250" s="3"/>
      <c r="AM250" s="3"/>
      <c r="AN250" s="3"/>
      <c r="AO250" s="3"/>
      <c r="AP250" s="3"/>
      <c r="AQ250" s="3"/>
      <c r="AR250" s="6"/>
      <c r="AS250" s="6"/>
      <c r="AT250" s="3"/>
      <c r="AU250" s="3"/>
      <c r="AV250" s="3"/>
      <c r="AW250" s="3"/>
      <c r="BM250" s="3"/>
      <c r="BN250" s="3"/>
    </row>
    <row r="251" spans="1:66" s="4" customFormat="1" ht="26.45" customHeight="1" x14ac:dyDescent="0.25">
      <c r="A251" s="127" t="s">
        <v>315</v>
      </c>
      <c r="B251" s="16" t="s">
        <v>261</v>
      </c>
      <c r="C251" s="16" t="s">
        <v>314</v>
      </c>
      <c r="D251" s="50">
        <f>444800-20</f>
        <v>444780</v>
      </c>
      <c r="E251" s="50">
        <v>444780</v>
      </c>
      <c r="F251" s="84">
        <f t="shared" si="31"/>
        <v>1</v>
      </c>
      <c r="G251" s="25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92"/>
      <c r="W251" s="3"/>
      <c r="X251" s="3"/>
      <c r="Y251" s="3"/>
      <c r="Z251" s="3"/>
      <c r="AC251" s="5"/>
      <c r="AD251" s="5"/>
      <c r="AE251" s="5"/>
      <c r="AF251" s="5"/>
      <c r="AG251" s="5"/>
      <c r="AH251" s="5"/>
      <c r="AI251" s="3"/>
      <c r="AJ251" s="3"/>
      <c r="AK251" s="3"/>
      <c r="AL251" s="3"/>
      <c r="AM251" s="3"/>
      <c r="AN251" s="3"/>
      <c r="AO251" s="3"/>
      <c r="AP251" s="3"/>
      <c r="AQ251" s="3"/>
      <c r="AR251" s="6"/>
      <c r="AS251" s="6"/>
      <c r="AT251" s="3"/>
      <c r="AU251" s="3"/>
      <c r="AV251" s="3"/>
      <c r="AW251" s="3"/>
      <c r="BM251" s="3"/>
      <c r="BN251" s="3"/>
    </row>
    <row r="252" spans="1:66" s="4" customFormat="1" ht="31.15" customHeight="1" x14ac:dyDescent="0.25">
      <c r="A252" s="127" t="s">
        <v>384</v>
      </c>
      <c r="B252" s="16" t="s">
        <v>5</v>
      </c>
      <c r="C252" s="16" t="s">
        <v>385</v>
      </c>
      <c r="D252" s="50">
        <f>+D253</f>
        <v>39167200</v>
      </c>
      <c r="E252" s="50">
        <f t="shared" ref="E252" si="40">+E253</f>
        <v>23890576.609999999</v>
      </c>
      <c r="F252" s="84">
        <f t="shared" si="31"/>
        <v>0.60996386287505866</v>
      </c>
      <c r="G252" s="25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92"/>
      <c r="W252" s="3"/>
      <c r="X252" s="3"/>
      <c r="Y252" s="3"/>
      <c r="Z252" s="3"/>
      <c r="AC252" s="5"/>
      <c r="AD252" s="5"/>
      <c r="AE252" s="5"/>
      <c r="AF252" s="5"/>
      <c r="AG252" s="5"/>
      <c r="AH252" s="5"/>
      <c r="AI252" s="3"/>
      <c r="AJ252" s="3"/>
      <c r="AK252" s="3"/>
      <c r="AL252" s="3"/>
      <c r="AM252" s="3"/>
      <c r="AN252" s="3"/>
      <c r="AO252" s="3"/>
      <c r="AP252" s="3"/>
      <c r="AQ252" s="3"/>
      <c r="AR252" s="6"/>
      <c r="AS252" s="6"/>
      <c r="AT252" s="3"/>
      <c r="AU252" s="3"/>
      <c r="AV252" s="3"/>
      <c r="AW252" s="3"/>
      <c r="BM252" s="3"/>
      <c r="BN252" s="3"/>
    </row>
    <row r="253" spans="1:66" s="4" customFormat="1" ht="31.15" customHeight="1" x14ac:dyDescent="0.25">
      <c r="A253" s="127" t="s">
        <v>382</v>
      </c>
      <c r="B253" s="16" t="s">
        <v>79</v>
      </c>
      <c r="C253" s="16" t="s">
        <v>383</v>
      </c>
      <c r="D253" s="50">
        <v>39167200</v>
      </c>
      <c r="E253" s="50">
        <v>23890576.609999999</v>
      </c>
      <c r="F253" s="84">
        <f t="shared" si="31"/>
        <v>0.60996386287505866</v>
      </c>
      <c r="G253" s="25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92"/>
      <c r="W253" s="3"/>
      <c r="X253" s="3"/>
      <c r="Y253" s="3"/>
      <c r="Z253" s="3"/>
      <c r="AC253" s="5"/>
      <c r="AD253" s="5"/>
      <c r="AE253" s="5"/>
      <c r="AF253" s="5"/>
      <c r="AG253" s="5"/>
      <c r="AH253" s="5"/>
      <c r="AI253" s="3"/>
      <c r="AJ253" s="3"/>
      <c r="AK253" s="3"/>
      <c r="AL253" s="3"/>
      <c r="AM253" s="3"/>
      <c r="AN253" s="3"/>
      <c r="AO253" s="3"/>
      <c r="AP253" s="3"/>
      <c r="AQ253" s="3"/>
      <c r="AR253" s="6"/>
      <c r="AS253" s="6"/>
      <c r="AT253" s="3"/>
      <c r="AU253" s="3"/>
      <c r="AV253" s="3"/>
      <c r="AW253" s="3"/>
      <c r="BM253" s="3"/>
      <c r="BN253" s="3"/>
    </row>
    <row r="254" spans="1:66" s="4" customFormat="1" ht="31.15" customHeight="1" x14ac:dyDescent="0.25">
      <c r="A254" s="127" t="s">
        <v>389</v>
      </c>
      <c r="B254" s="16" t="s">
        <v>5</v>
      </c>
      <c r="C254" s="16" t="s">
        <v>390</v>
      </c>
      <c r="D254" s="50">
        <f>+D255</f>
        <v>4832296.28</v>
      </c>
      <c r="E254" s="50">
        <f t="shared" ref="E254" si="41">+E255</f>
        <v>4832296.28</v>
      </c>
      <c r="F254" s="84">
        <f t="shared" si="31"/>
        <v>1</v>
      </c>
      <c r="G254" s="25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92"/>
      <c r="W254" s="3"/>
      <c r="X254" s="3"/>
      <c r="Y254" s="3"/>
      <c r="Z254" s="3"/>
      <c r="AC254" s="5"/>
      <c r="AD254" s="5"/>
      <c r="AE254" s="5"/>
      <c r="AF254" s="5"/>
      <c r="AG254" s="5"/>
      <c r="AH254" s="5"/>
      <c r="AI254" s="3"/>
      <c r="AJ254" s="3"/>
      <c r="AK254" s="3"/>
      <c r="AL254" s="3"/>
      <c r="AM254" s="3"/>
      <c r="AN254" s="3"/>
      <c r="AO254" s="3"/>
      <c r="AP254" s="3"/>
      <c r="AQ254" s="3"/>
      <c r="AR254" s="6"/>
      <c r="AS254" s="6"/>
      <c r="AT254" s="3"/>
      <c r="AU254" s="3"/>
      <c r="AV254" s="3"/>
      <c r="AW254" s="3"/>
      <c r="BM254" s="3"/>
      <c r="BN254" s="3"/>
    </row>
    <row r="255" spans="1:66" s="4" customFormat="1" ht="31.15" customHeight="1" x14ac:dyDescent="0.25">
      <c r="A255" s="127" t="s">
        <v>387</v>
      </c>
      <c r="B255" s="16" t="s">
        <v>261</v>
      </c>
      <c r="C255" s="16" t="s">
        <v>388</v>
      </c>
      <c r="D255" s="50">
        <v>4832296.28</v>
      </c>
      <c r="E255" s="50">
        <v>4832296.28</v>
      </c>
      <c r="F255" s="84">
        <f t="shared" si="31"/>
        <v>1</v>
      </c>
      <c r="G255" s="25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92"/>
      <c r="W255" s="3"/>
      <c r="X255" s="3"/>
      <c r="Y255" s="3"/>
      <c r="Z255" s="3"/>
      <c r="AC255" s="5"/>
      <c r="AD255" s="5"/>
      <c r="AE255" s="5"/>
      <c r="AF255" s="5"/>
      <c r="AG255" s="5"/>
      <c r="AH255" s="5"/>
      <c r="AI255" s="3"/>
      <c r="AJ255" s="3"/>
      <c r="AK255" s="3"/>
      <c r="AL255" s="3"/>
      <c r="AM255" s="3"/>
      <c r="AN255" s="3"/>
      <c r="AO255" s="3"/>
      <c r="AP255" s="3"/>
      <c r="AQ255" s="3"/>
      <c r="AR255" s="6"/>
      <c r="AS255" s="6"/>
      <c r="AT255" s="3"/>
      <c r="AU255" s="3"/>
      <c r="AV255" s="3"/>
      <c r="AW255" s="3"/>
      <c r="BM255" s="3"/>
      <c r="BN255" s="3"/>
    </row>
    <row r="256" spans="1:66" s="4" customFormat="1" ht="27.6" customHeight="1" x14ac:dyDescent="0.25">
      <c r="A256" s="127" t="s">
        <v>334</v>
      </c>
      <c r="B256" s="16" t="s">
        <v>5</v>
      </c>
      <c r="C256" s="16" t="s">
        <v>335</v>
      </c>
      <c r="D256" s="50">
        <f>+D257</f>
        <v>117542700</v>
      </c>
      <c r="E256" s="50">
        <f t="shared" ref="E256" si="42">+E257</f>
        <v>82701031.450000003</v>
      </c>
      <c r="F256" s="84">
        <f t="shared" si="31"/>
        <v>0.70358288051916451</v>
      </c>
      <c r="G256" s="25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92"/>
      <c r="W256" s="3"/>
      <c r="X256" s="3"/>
      <c r="Y256" s="3"/>
      <c r="Z256" s="3"/>
      <c r="AC256" s="5"/>
      <c r="AD256" s="5"/>
      <c r="AE256" s="5"/>
      <c r="AF256" s="5"/>
      <c r="AG256" s="5"/>
      <c r="AH256" s="5"/>
      <c r="AI256" s="3"/>
      <c r="AJ256" s="3"/>
      <c r="AK256" s="3"/>
      <c r="AL256" s="3"/>
      <c r="AM256" s="3"/>
      <c r="AN256" s="3"/>
      <c r="AO256" s="3"/>
      <c r="AP256" s="3"/>
      <c r="AQ256" s="3"/>
      <c r="AR256" s="6"/>
      <c r="AS256" s="6"/>
      <c r="AT256" s="3"/>
      <c r="AU256" s="3"/>
      <c r="AV256" s="3"/>
      <c r="AW256" s="3"/>
      <c r="BM256" s="3"/>
      <c r="BN256" s="3"/>
    </row>
    <row r="257" spans="1:67" s="4" customFormat="1" ht="33.6" customHeight="1" x14ac:dyDescent="0.25">
      <c r="A257" s="127" t="s">
        <v>332</v>
      </c>
      <c r="B257" s="16" t="s">
        <v>256</v>
      </c>
      <c r="C257" s="16" t="s">
        <v>333</v>
      </c>
      <c r="D257" s="50">
        <v>117542700</v>
      </c>
      <c r="E257" s="136">
        <v>82701031.450000003</v>
      </c>
      <c r="F257" s="84">
        <f t="shared" si="31"/>
        <v>0.70358288051916451</v>
      </c>
      <c r="G257" s="25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92"/>
      <c r="W257" s="3"/>
      <c r="X257" s="3"/>
      <c r="Y257" s="3"/>
      <c r="Z257" s="3"/>
      <c r="AC257" s="5"/>
      <c r="AD257" s="5"/>
      <c r="AE257" s="5"/>
      <c r="AF257" s="5"/>
      <c r="AG257" s="5"/>
      <c r="AH257" s="5"/>
      <c r="AI257" s="3"/>
      <c r="AJ257" s="3"/>
      <c r="AK257" s="3"/>
      <c r="AL257" s="3"/>
      <c r="AM257" s="3"/>
      <c r="AN257" s="3"/>
      <c r="AO257" s="3"/>
      <c r="AP257" s="3"/>
      <c r="AQ257" s="3"/>
      <c r="AR257" s="6"/>
      <c r="AS257" s="6"/>
      <c r="AT257" s="3"/>
      <c r="AU257" s="3"/>
      <c r="AV257" s="3"/>
      <c r="AW257" s="3"/>
      <c r="BM257" s="3"/>
      <c r="BN257" s="3"/>
    </row>
    <row r="258" spans="1:67" s="4" customFormat="1" ht="15.6" customHeight="1" x14ac:dyDescent="0.25">
      <c r="A258" s="49" t="s">
        <v>263</v>
      </c>
      <c r="B258" s="16" t="s">
        <v>5</v>
      </c>
      <c r="C258" s="33" t="s">
        <v>264</v>
      </c>
      <c r="D258" s="50">
        <f>+D259</f>
        <v>576629570.79999995</v>
      </c>
      <c r="E258" s="50">
        <f>+E259</f>
        <v>325761006.21999997</v>
      </c>
      <c r="F258" s="84">
        <f t="shared" si="31"/>
        <v>0.56493982049524127</v>
      </c>
      <c r="G258" s="3"/>
      <c r="H258" s="25"/>
      <c r="I258" s="25"/>
      <c r="J258" s="25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92"/>
      <c r="W258" s="3"/>
      <c r="X258" s="3"/>
      <c r="Y258" s="3"/>
      <c r="Z258" s="3"/>
      <c r="AC258" s="5"/>
      <c r="AD258" s="5"/>
      <c r="AE258" s="5"/>
      <c r="AF258" s="5"/>
      <c r="AG258" s="5"/>
      <c r="AH258" s="5"/>
      <c r="AI258" s="3"/>
      <c r="AJ258" s="3"/>
      <c r="AK258" s="3"/>
      <c r="AL258" s="3"/>
      <c r="AM258" s="3"/>
      <c r="AN258" s="3"/>
      <c r="AO258" s="3"/>
      <c r="AP258" s="3"/>
      <c r="AQ258" s="3"/>
      <c r="AR258" s="6"/>
      <c r="AS258" s="6"/>
      <c r="AT258" s="3"/>
      <c r="AU258" s="3"/>
      <c r="AV258" s="3"/>
      <c r="AW258" s="3"/>
      <c r="BM258" s="3"/>
      <c r="BN258" s="3"/>
    </row>
    <row r="259" spans="1:67" s="4" customFormat="1" ht="18" customHeight="1" x14ac:dyDescent="0.25">
      <c r="A259" s="49" t="s">
        <v>265</v>
      </c>
      <c r="B259" s="16" t="s">
        <v>5</v>
      </c>
      <c r="C259" s="33" t="s">
        <v>266</v>
      </c>
      <c r="D259" s="50">
        <f>+D260+D261+D262+D263+D264+D265+D266+D267+D268+D269+D270+D271+D272+D273+D274+D275+D276</f>
        <v>576629570.79999995</v>
      </c>
      <c r="E259" s="50">
        <f>+E260+E261+E262+E263+E264+E265+E266+E267+E268+E269+E270+E271+E272+E273+E274+E275+E276</f>
        <v>325761006.21999997</v>
      </c>
      <c r="F259" s="84">
        <f t="shared" si="31"/>
        <v>0.56493982049524127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92"/>
      <c r="W259" s="3"/>
      <c r="X259" s="3"/>
      <c r="Y259" s="3"/>
      <c r="Z259" s="3"/>
      <c r="AC259" s="5"/>
      <c r="AD259" s="5"/>
      <c r="AE259" s="5"/>
      <c r="AF259" s="5"/>
      <c r="AG259" s="5"/>
      <c r="AH259" s="5"/>
      <c r="AI259" s="3"/>
      <c r="AJ259" s="3"/>
      <c r="AK259" s="3"/>
      <c r="AL259" s="3"/>
      <c r="AM259" s="3"/>
      <c r="AN259" s="3"/>
      <c r="AO259" s="3"/>
      <c r="AP259" s="3"/>
      <c r="AQ259" s="3"/>
      <c r="AR259" s="6"/>
      <c r="AS259" s="6"/>
      <c r="AT259" s="3"/>
      <c r="AU259" s="3"/>
      <c r="AV259" s="3"/>
      <c r="AW259" s="3"/>
      <c r="BM259" s="3"/>
      <c r="BN259" s="3"/>
    </row>
    <row r="260" spans="1:67" s="4" customFormat="1" ht="54.6" customHeight="1" x14ac:dyDescent="0.25">
      <c r="A260" s="28" t="s">
        <v>318</v>
      </c>
      <c r="B260" s="16" t="s">
        <v>261</v>
      </c>
      <c r="C260" s="33" t="s">
        <v>266</v>
      </c>
      <c r="D260" s="50">
        <v>90044700</v>
      </c>
      <c r="E260" s="50">
        <v>50696408.740000002</v>
      </c>
      <c r="F260" s="84">
        <f t="shared" si="31"/>
        <v>0.56301380025698355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92"/>
      <c r="W260" s="3"/>
      <c r="X260" s="3"/>
      <c r="Y260" s="3"/>
      <c r="Z260" s="3"/>
      <c r="AC260" s="5"/>
      <c r="AD260" s="5"/>
      <c r="AE260" s="5"/>
      <c r="AF260" s="5"/>
      <c r="AG260" s="5"/>
      <c r="AH260" s="5"/>
      <c r="AI260" s="3"/>
      <c r="AJ260" s="3"/>
      <c r="AK260" s="3"/>
      <c r="AL260" s="3"/>
      <c r="AM260" s="3"/>
      <c r="AN260" s="3"/>
      <c r="AO260" s="3"/>
      <c r="AP260" s="3"/>
      <c r="AQ260" s="3"/>
      <c r="AR260" s="6"/>
      <c r="AS260" s="6"/>
      <c r="AT260" s="3"/>
      <c r="AU260" s="3"/>
      <c r="AV260" s="3"/>
      <c r="AW260" s="3"/>
      <c r="BM260" s="3"/>
      <c r="BN260" s="3"/>
      <c r="BO260" s="53"/>
    </row>
    <row r="261" spans="1:67" s="4" customFormat="1" ht="44.45" customHeight="1" x14ac:dyDescent="0.25">
      <c r="A261" s="28" t="s">
        <v>386</v>
      </c>
      <c r="B261" s="16" t="s">
        <v>261</v>
      </c>
      <c r="C261" s="33" t="s">
        <v>266</v>
      </c>
      <c r="D261" s="50">
        <v>658040</v>
      </c>
      <c r="E261" s="50">
        <v>658040</v>
      </c>
      <c r="F261" s="84">
        <f t="shared" si="31"/>
        <v>1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92"/>
      <c r="W261" s="3"/>
      <c r="X261" s="3"/>
      <c r="Y261" s="3"/>
      <c r="Z261" s="3"/>
      <c r="AC261" s="5"/>
      <c r="AD261" s="5"/>
      <c r="AE261" s="5"/>
      <c r="AF261" s="5"/>
      <c r="AG261" s="5"/>
      <c r="AH261" s="5"/>
      <c r="AI261" s="3"/>
      <c r="AJ261" s="3"/>
      <c r="AK261" s="3"/>
      <c r="AL261" s="3"/>
      <c r="AM261" s="3"/>
      <c r="AN261" s="3"/>
      <c r="AO261" s="3"/>
      <c r="AP261" s="3"/>
      <c r="AQ261" s="3"/>
      <c r="AR261" s="6"/>
      <c r="AS261" s="6"/>
      <c r="AT261" s="3"/>
      <c r="AU261" s="3"/>
      <c r="AV261" s="3"/>
      <c r="AW261" s="3"/>
      <c r="BM261" s="3"/>
      <c r="BN261" s="3"/>
      <c r="BO261" s="53"/>
    </row>
    <row r="262" spans="1:67" s="4" customFormat="1" ht="69.599999999999994" customHeight="1" x14ac:dyDescent="0.25">
      <c r="A262" s="67" t="s">
        <v>267</v>
      </c>
      <c r="B262" s="16" t="s">
        <v>256</v>
      </c>
      <c r="C262" s="33" t="s">
        <v>266</v>
      </c>
      <c r="D262" s="50">
        <f>2603200+347100</f>
        <v>2950300</v>
      </c>
      <c r="E262" s="50">
        <v>2950300</v>
      </c>
      <c r="F262" s="84">
        <f t="shared" si="31"/>
        <v>1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92"/>
      <c r="W262" s="3"/>
      <c r="X262" s="3"/>
      <c r="Y262" s="3"/>
      <c r="Z262" s="3"/>
      <c r="AC262" s="5"/>
      <c r="AD262" s="5"/>
      <c r="AE262" s="5"/>
      <c r="AF262" s="5"/>
      <c r="AG262" s="5"/>
      <c r="AH262" s="5"/>
      <c r="AI262" s="3"/>
      <c r="AJ262" s="3"/>
      <c r="AK262" s="3"/>
      <c r="AL262" s="3"/>
      <c r="AM262" s="3"/>
      <c r="AN262" s="3"/>
      <c r="AO262" s="3"/>
      <c r="AP262" s="3"/>
      <c r="AQ262" s="3"/>
      <c r="AR262" s="6"/>
      <c r="AS262" s="6"/>
      <c r="AT262" s="3"/>
      <c r="AU262" s="3"/>
      <c r="AV262" s="3"/>
      <c r="AW262" s="3"/>
      <c r="BM262" s="3"/>
      <c r="BN262" s="3"/>
    </row>
    <row r="263" spans="1:67" s="4" customFormat="1" ht="69" customHeight="1" x14ac:dyDescent="0.25">
      <c r="A263" s="28" t="s">
        <v>268</v>
      </c>
      <c r="B263" s="16" t="s">
        <v>256</v>
      </c>
      <c r="C263" s="33" t="s">
        <v>266</v>
      </c>
      <c r="D263" s="50">
        <f>10850300+1725900</f>
        <v>12576200</v>
      </c>
      <c r="E263" s="50">
        <v>8769640.2300000004</v>
      </c>
      <c r="F263" s="84">
        <f t="shared" si="31"/>
        <v>0.69732035352491217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92"/>
      <c r="W263" s="3"/>
      <c r="X263" s="3"/>
      <c r="Y263" s="3"/>
      <c r="Z263" s="3"/>
      <c r="AC263" s="5"/>
      <c r="AD263" s="5"/>
      <c r="AE263" s="5"/>
      <c r="AF263" s="5"/>
      <c r="AG263" s="5"/>
      <c r="AH263" s="5"/>
      <c r="AI263" s="3"/>
      <c r="AJ263" s="3"/>
      <c r="AK263" s="3"/>
      <c r="AL263" s="3"/>
      <c r="AM263" s="3"/>
      <c r="AN263" s="3"/>
      <c r="AO263" s="3"/>
      <c r="AP263" s="3"/>
      <c r="AQ263" s="3"/>
      <c r="AR263" s="6"/>
      <c r="AS263" s="6"/>
      <c r="AT263" s="3"/>
      <c r="AU263" s="3"/>
      <c r="AV263" s="3"/>
      <c r="AW263" s="3"/>
      <c r="BM263" s="3"/>
      <c r="BN263" s="3"/>
    </row>
    <row r="264" spans="1:67" s="4" customFormat="1" ht="55.9" customHeight="1" x14ac:dyDescent="0.25">
      <c r="A264" s="28" t="s">
        <v>269</v>
      </c>
      <c r="B264" s="16" t="s">
        <v>256</v>
      </c>
      <c r="C264" s="33" t="s">
        <v>266</v>
      </c>
      <c r="D264" s="50">
        <f>5036300-73400</f>
        <v>4962900</v>
      </c>
      <c r="E264" s="50">
        <v>3554731.23</v>
      </c>
      <c r="F264" s="84">
        <f t="shared" si="31"/>
        <v>0.71626090189203895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92"/>
      <c r="W264" s="3"/>
      <c r="X264" s="3"/>
      <c r="Y264" s="3"/>
      <c r="Z264" s="3"/>
      <c r="AC264" s="5"/>
      <c r="AD264" s="5"/>
      <c r="AE264" s="5"/>
      <c r="AF264" s="5"/>
      <c r="AG264" s="5"/>
      <c r="AH264" s="5"/>
      <c r="AI264" s="3"/>
      <c r="AJ264" s="3"/>
      <c r="AK264" s="3"/>
      <c r="AL264" s="3"/>
      <c r="AM264" s="3"/>
      <c r="AN264" s="3"/>
      <c r="AO264" s="3"/>
      <c r="AP264" s="3"/>
      <c r="AQ264" s="3"/>
      <c r="AR264" s="6"/>
      <c r="AS264" s="6"/>
      <c r="AT264" s="3"/>
      <c r="AU264" s="3"/>
      <c r="AV264" s="3"/>
      <c r="AW264" s="3"/>
      <c r="BM264" s="3"/>
      <c r="BN264" s="3"/>
    </row>
    <row r="265" spans="1:67" s="4" customFormat="1" ht="52.9" customHeight="1" x14ac:dyDescent="0.25">
      <c r="A265" s="48" t="s">
        <v>545</v>
      </c>
      <c r="B265" s="16" t="s">
        <v>256</v>
      </c>
      <c r="C265" s="33" t="s">
        <v>266</v>
      </c>
      <c r="D265" s="50">
        <v>15000000</v>
      </c>
      <c r="E265" s="50">
        <v>4601656.66</v>
      </c>
      <c r="F265" s="84">
        <f t="shared" ref="F265:F319" si="43">+E265/D265</f>
        <v>0.30677711066666669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92"/>
      <c r="W265" s="3"/>
      <c r="X265" s="3"/>
      <c r="Y265" s="3"/>
      <c r="Z265" s="3"/>
      <c r="AC265" s="5"/>
      <c r="AD265" s="5"/>
      <c r="AE265" s="5"/>
      <c r="AF265" s="5"/>
      <c r="AG265" s="5"/>
      <c r="AH265" s="5"/>
      <c r="AI265" s="3"/>
      <c r="AJ265" s="3"/>
      <c r="AK265" s="3"/>
      <c r="AL265" s="3"/>
      <c r="AM265" s="3"/>
      <c r="AN265" s="3"/>
      <c r="AO265" s="3"/>
      <c r="AP265" s="3"/>
      <c r="AQ265" s="3"/>
      <c r="AR265" s="6"/>
      <c r="AS265" s="6"/>
      <c r="AT265" s="3"/>
      <c r="AU265" s="3"/>
      <c r="AV265" s="3"/>
      <c r="AW265" s="3"/>
      <c r="BM265" s="3"/>
      <c r="BN265" s="3"/>
    </row>
    <row r="266" spans="1:67" s="4" customFormat="1" ht="85.9" customHeight="1" x14ac:dyDescent="0.25">
      <c r="A266" s="48" t="s">
        <v>381</v>
      </c>
      <c r="B266" s="16" t="s">
        <v>256</v>
      </c>
      <c r="C266" s="33" t="s">
        <v>266</v>
      </c>
      <c r="D266" s="50">
        <v>1145689</v>
      </c>
      <c r="E266" s="50">
        <v>971244.02</v>
      </c>
      <c r="F266" s="84">
        <f t="shared" si="43"/>
        <v>0.84773792887947774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92"/>
      <c r="W266" s="3"/>
      <c r="X266" s="3"/>
      <c r="Y266" s="3"/>
      <c r="Z266" s="3"/>
      <c r="AC266" s="5"/>
      <c r="AD266" s="5"/>
      <c r="AE266" s="5"/>
      <c r="AF266" s="5"/>
      <c r="AG266" s="5"/>
      <c r="AH266" s="5"/>
      <c r="AI266" s="3"/>
      <c r="AJ266" s="3"/>
      <c r="AK266" s="3"/>
      <c r="AL266" s="3"/>
      <c r="AM266" s="3"/>
      <c r="AN266" s="3"/>
      <c r="AO266" s="3"/>
      <c r="AP266" s="3"/>
      <c r="AQ266" s="3"/>
      <c r="AR266" s="6"/>
      <c r="AS266" s="6"/>
      <c r="AT266" s="3"/>
      <c r="AU266" s="3"/>
      <c r="AV266" s="3"/>
      <c r="AW266" s="3"/>
      <c r="BM266" s="3"/>
      <c r="BN266" s="3"/>
    </row>
    <row r="267" spans="1:67" s="4" customFormat="1" ht="95.45" customHeight="1" x14ac:dyDescent="0.25">
      <c r="A267" s="48" t="s">
        <v>395</v>
      </c>
      <c r="B267" s="16" t="s">
        <v>256</v>
      </c>
      <c r="C267" s="33" t="s">
        <v>266</v>
      </c>
      <c r="D267" s="50">
        <v>4158300</v>
      </c>
      <c r="E267" s="50">
        <v>4156492.12</v>
      </c>
      <c r="F267" s="84">
        <f t="shared" si="43"/>
        <v>0.99956523579347334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92"/>
      <c r="W267" s="3"/>
      <c r="X267" s="3"/>
      <c r="Y267" s="3"/>
      <c r="Z267" s="3"/>
      <c r="AC267" s="5"/>
      <c r="AD267" s="5"/>
      <c r="AE267" s="5"/>
      <c r="AF267" s="5"/>
      <c r="AG267" s="5"/>
      <c r="AH267" s="5"/>
      <c r="AI267" s="3"/>
      <c r="AJ267" s="3"/>
      <c r="AK267" s="3"/>
      <c r="AL267" s="3"/>
      <c r="AM267" s="3"/>
      <c r="AN267" s="3"/>
      <c r="AO267" s="3"/>
      <c r="AP267" s="3"/>
      <c r="AQ267" s="3"/>
      <c r="AR267" s="6"/>
      <c r="AS267" s="6"/>
      <c r="AT267" s="3"/>
      <c r="AU267" s="3"/>
      <c r="AV267" s="3"/>
      <c r="AW267" s="3"/>
      <c r="BM267" s="3"/>
      <c r="BN267" s="3"/>
    </row>
    <row r="268" spans="1:67" s="4" customFormat="1" ht="69" customHeight="1" x14ac:dyDescent="0.25">
      <c r="A268" s="94" t="s">
        <v>501</v>
      </c>
      <c r="B268" s="16" t="s">
        <v>256</v>
      </c>
      <c r="C268" s="33" t="s">
        <v>266</v>
      </c>
      <c r="D268" s="50">
        <v>6025300</v>
      </c>
      <c r="E268" s="50">
        <v>4628729.8</v>
      </c>
      <c r="F268" s="84">
        <f t="shared" si="43"/>
        <v>0.76821565731166908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92"/>
      <c r="W268" s="3"/>
      <c r="X268" s="3"/>
      <c r="Y268" s="3"/>
      <c r="Z268" s="3"/>
      <c r="AC268" s="5"/>
      <c r="AD268" s="5"/>
      <c r="AE268" s="5"/>
      <c r="AF268" s="5"/>
      <c r="AG268" s="5"/>
      <c r="AH268" s="5"/>
      <c r="AI268" s="3"/>
      <c r="AJ268" s="3"/>
      <c r="AK268" s="3"/>
      <c r="AL268" s="3"/>
      <c r="AM268" s="3"/>
      <c r="AN268" s="3"/>
      <c r="AO268" s="3"/>
      <c r="AP268" s="3"/>
      <c r="AQ268" s="3"/>
      <c r="AR268" s="6"/>
      <c r="AS268" s="6"/>
      <c r="AT268" s="3"/>
      <c r="AU268" s="3"/>
      <c r="AV268" s="3"/>
      <c r="AW268" s="3"/>
      <c r="BM268" s="3"/>
      <c r="BN268" s="3"/>
    </row>
    <row r="269" spans="1:67" s="4" customFormat="1" ht="139.9" customHeight="1" x14ac:dyDescent="0.25">
      <c r="A269" s="128" t="s">
        <v>548</v>
      </c>
      <c r="B269" s="16" t="s">
        <v>249</v>
      </c>
      <c r="C269" s="33" t="s">
        <v>266</v>
      </c>
      <c r="D269" s="50">
        <v>182080400</v>
      </c>
      <c r="E269" s="50">
        <v>136560300</v>
      </c>
      <c r="F269" s="84">
        <f t="shared" si="43"/>
        <v>0.75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92"/>
      <c r="W269" s="3"/>
      <c r="X269" s="3"/>
      <c r="Y269" s="3"/>
      <c r="Z269" s="3"/>
      <c r="AC269" s="5"/>
      <c r="AD269" s="5"/>
      <c r="AE269" s="5"/>
      <c r="AF269" s="5"/>
      <c r="AG269" s="5"/>
      <c r="AH269" s="5"/>
      <c r="AI269" s="3"/>
      <c r="AJ269" s="3"/>
      <c r="AK269" s="3"/>
      <c r="AL269" s="3"/>
      <c r="AM269" s="3"/>
      <c r="AN269" s="3"/>
      <c r="AO269" s="3"/>
      <c r="AP269" s="3"/>
      <c r="AQ269" s="3"/>
      <c r="AR269" s="6"/>
      <c r="AS269" s="6"/>
      <c r="AT269" s="3"/>
      <c r="AU269" s="3"/>
      <c r="AV269" s="3"/>
      <c r="AW269" s="3"/>
      <c r="BM269" s="3"/>
      <c r="BN269" s="3"/>
    </row>
    <row r="270" spans="1:67" s="4" customFormat="1" ht="58.15" customHeight="1" x14ac:dyDescent="0.25">
      <c r="A270" s="79" t="s">
        <v>270</v>
      </c>
      <c r="B270" s="16" t="s">
        <v>271</v>
      </c>
      <c r="C270" s="33" t="s">
        <v>266</v>
      </c>
      <c r="D270" s="50">
        <v>101575100</v>
      </c>
      <c r="E270" s="50">
        <v>32595211.420000002</v>
      </c>
      <c r="F270" s="84">
        <f t="shared" si="43"/>
        <v>0.32089765523243396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92"/>
      <c r="W270" s="3"/>
      <c r="X270" s="3"/>
      <c r="Y270" s="3"/>
      <c r="Z270" s="3"/>
      <c r="AC270" s="5"/>
      <c r="AD270" s="5"/>
      <c r="AE270" s="5"/>
      <c r="AF270" s="5"/>
      <c r="AG270" s="5"/>
      <c r="AH270" s="5"/>
      <c r="AI270" s="3"/>
      <c r="AJ270" s="3"/>
      <c r="AK270" s="3"/>
      <c r="AL270" s="3"/>
      <c r="AM270" s="3"/>
      <c r="AN270" s="3"/>
      <c r="AO270" s="3"/>
      <c r="AP270" s="3"/>
      <c r="AQ270" s="3"/>
      <c r="AR270" s="6"/>
      <c r="AS270" s="6"/>
      <c r="AT270" s="3"/>
      <c r="AU270" s="3"/>
      <c r="AV270" s="3"/>
      <c r="AW270" s="3"/>
      <c r="BM270" s="3"/>
      <c r="BN270" s="3"/>
    </row>
    <row r="271" spans="1:67" s="4" customFormat="1" ht="70.150000000000006" customHeight="1" x14ac:dyDescent="0.25">
      <c r="A271" s="94" t="s">
        <v>549</v>
      </c>
      <c r="B271" s="16" t="s">
        <v>271</v>
      </c>
      <c r="C271" s="33" t="s">
        <v>266</v>
      </c>
      <c r="D271" s="60">
        <v>337928</v>
      </c>
      <c r="E271" s="60">
        <v>337928</v>
      </c>
      <c r="F271" s="84">
        <f t="shared" si="43"/>
        <v>1</v>
      </c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92"/>
      <c r="W271" s="3"/>
      <c r="X271" s="3"/>
      <c r="Y271" s="3"/>
      <c r="Z271" s="3"/>
      <c r="AC271" s="5"/>
      <c r="AD271" s="5"/>
      <c r="AE271" s="5"/>
      <c r="AF271" s="5"/>
      <c r="AG271" s="5"/>
      <c r="AH271" s="5"/>
      <c r="AI271" s="3"/>
      <c r="AJ271" s="3"/>
      <c r="AK271" s="3"/>
      <c r="AL271" s="3"/>
      <c r="AM271" s="3"/>
      <c r="AN271" s="3"/>
      <c r="AO271" s="3"/>
      <c r="AP271" s="3"/>
      <c r="AQ271" s="3"/>
      <c r="AR271" s="6"/>
      <c r="AS271" s="6"/>
      <c r="AT271" s="3"/>
      <c r="AU271" s="3"/>
      <c r="AV271" s="3"/>
      <c r="AW271" s="3"/>
      <c r="BM271" s="3"/>
      <c r="BN271" s="3"/>
    </row>
    <row r="272" spans="1:67" s="4" customFormat="1" ht="40.15" customHeight="1" x14ac:dyDescent="0.25">
      <c r="A272" s="80" t="s">
        <v>380</v>
      </c>
      <c r="B272" s="16" t="s">
        <v>212</v>
      </c>
      <c r="C272" s="33" t="s">
        <v>266</v>
      </c>
      <c r="D272" s="50">
        <v>11611313.800000001</v>
      </c>
      <c r="E272" s="50">
        <v>6182440.7000000002</v>
      </c>
      <c r="F272" s="84">
        <f t="shared" si="43"/>
        <v>0.53244971296874255</v>
      </c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92"/>
      <c r="W272" s="3"/>
      <c r="X272" s="3"/>
      <c r="Y272" s="3"/>
      <c r="Z272" s="3"/>
      <c r="AC272" s="5"/>
      <c r="AD272" s="5"/>
      <c r="AE272" s="5"/>
      <c r="AF272" s="5"/>
      <c r="AG272" s="5"/>
      <c r="AH272" s="5"/>
      <c r="AI272" s="3"/>
      <c r="AJ272" s="3"/>
      <c r="AK272" s="3"/>
      <c r="AL272" s="3"/>
      <c r="AM272" s="3"/>
      <c r="AN272" s="3"/>
      <c r="AO272" s="3"/>
      <c r="AP272" s="3"/>
      <c r="AQ272" s="3"/>
      <c r="AR272" s="6"/>
      <c r="AS272" s="6"/>
      <c r="AT272" s="3"/>
      <c r="AU272" s="3"/>
      <c r="AV272" s="3"/>
      <c r="AW272" s="3"/>
      <c r="BM272" s="3"/>
      <c r="BN272" s="3"/>
    </row>
    <row r="273" spans="1:66" s="4" customFormat="1" ht="41.45" customHeight="1" x14ac:dyDescent="0.25">
      <c r="A273" s="67" t="s">
        <v>272</v>
      </c>
      <c r="B273" s="16" t="s">
        <v>212</v>
      </c>
      <c r="C273" s="33" t="s">
        <v>266</v>
      </c>
      <c r="D273" s="50">
        <f>10000000+5000000</f>
        <v>15000000</v>
      </c>
      <c r="E273" s="50">
        <v>2398568.64</v>
      </c>
      <c r="F273" s="84">
        <f t="shared" si="43"/>
        <v>0.15990457600000002</v>
      </c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92"/>
      <c r="W273" s="3"/>
      <c r="X273" s="3"/>
      <c r="Y273" s="3"/>
      <c r="Z273" s="3"/>
      <c r="AC273" s="5"/>
      <c r="AD273" s="5"/>
      <c r="AE273" s="5"/>
      <c r="AF273" s="5"/>
      <c r="AG273" s="5"/>
      <c r="AH273" s="5"/>
      <c r="AI273" s="3"/>
      <c r="AJ273" s="3"/>
      <c r="AK273" s="3"/>
      <c r="AL273" s="3"/>
      <c r="AM273" s="3"/>
      <c r="AN273" s="3"/>
      <c r="AO273" s="3"/>
      <c r="AP273" s="3"/>
      <c r="AQ273" s="3"/>
      <c r="AR273" s="6"/>
      <c r="AS273" s="6"/>
      <c r="AT273" s="3"/>
      <c r="AU273" s="3"/>
      <c r="AV273" s="3"/>
      <c r="AW273" s="3"/>
      <c r="BM273" s="3"/>
      <c r="BN273" s="3"/>
    </row>
    <row r="274" spans="1:66" s="4" customFormat="1" ht="60" customHeight="1" x14ac:dyDescent="0.25">
      <c r="A274" s="67" t="s">
        <v>502</v>
      </c>
      <c r="B274" s="16" t="s">
        <v>79</v>
      </c>
      <c r="C274" s="33" t="s">
        <v>266</v>
      </c>
      <c r="D274" s="60">
        <v>84650600</v>
      </c>
      <c r="E274" s="50">
        <v>64519958.460000001</v>
      </c>
      <c r="F274" s="84">
        <f t="shared" si="43"/>
        <v>0.76219138978341561</v>
      </c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92"/>
      <c r="W274" s="3"/>
      <c r="X274" s="3"/>
      <c r="Y274" s="3"/>
      <c r="Z274" s="3"/>
      <c r="AC274" s="5"/>
      <c r="AD274" s="5"/>
      <c r="AE274" s="5"/>
      <c r="AF274" s="5"/>
      <c r="AG274" s="5"/>
      <c r="AH274" s="5"/>
      <c r="AI274" s="3"/>
      <c r="AJ274" s="3"/>
      <c r="AK274" s="3"/>
      <c r="AL274" s="3"/>
      <c r="AM274" s="3"/>
      <c r="AN274" s="3"/>
      <c r="AO274" s="3"/>
      <c r="AP274" s="3"/>
      <c r="AQ274" s="3"/>
      <c r="AR274" s="6"/>
      <c r="AS274" s="6"/>
      <c r="AT274" s="3"/>
      <c r="AU274" s="3"/>
      <c r="AV274" s="3"/>
      <c r="AW274" s="3"/>
      <c r="BM274" s="3"/>
      <c r="BN274" s="3"/>
    </row>
    <row r="275" spans="1:66" s="4" customFormat="1" ht="48.75" customHeight="1" x14ac:dyDescent="0.25">
      <c r="A275" s="67" t="s">
        <v>481</v>
      </c>
      <c r="B275" s="16" t="s">
        <v>79</v>
      </c>
      <c r="C275" s="33" t="s">
        <v>266</v>
      </c>
      <c r="D275" s="50">
        <v>40340600</v>
      </c>
      <c r="E275" s="50">
        <v>0</v>
      </c>
      <c r="F275" s="84">
        <f t="shared" si="43"/>
        <v>0</v>
      </c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92"/>
      <c r="W275" s="3"/>
      <c r="X275" s="3"/>
      <c r="Y275" s="3"/>
      <c r="Z275" s="3"/>
      <c r="AC275" s="5"/>
      <c r="AD275" s="5"/>
      <c r="AE275" s="5"/>
      <c r="AF275" s="5"/>
      <c r="AG275" s="5"/>
      <c r="AH275" s="5"/>
      <c r="AI275" s="3"/>
      <c r="AJ275" s="3"/>
      <c r="AK275" s="3"/>
      <c r="AL275" s="3"/>
      <c r="AM275" s="3"/>
      <c r="AN275" s="3"/>
      <c r="AO275" s="3"/>
      <c r="AP275" s="3"/>
      <c r="AQ275" s="3"/>
      <c r="AR275" s="6"/>
      <c r="AS275" s="6"/>
      <c r="AT275" s="3"/>
      <c r="AU275" s="3"/>
      <c r="AV275" s="3"/>
      <c r="AW275" s="3"/>
      <c r="BM275" s="3"/>
      <c r="BN275" s="3"/>
    </row>
    <row r="276" spans="1:66" s="4" customFormat="1" ht="131.44999999999999" customHeight="1" x14ac:dyDescent="0.25">
      <c r="A276" s="129" t="s">
        <v>546</v>
      </c>
      <c r="B276" s="16" t="s">
        <v>79</v>
      </c>
      <c r="C276" s="33" t="s">
        <v>266</v>
      </c>
      <c r="D276" s="50">
        <v>3512200</v>
      </c>
      <c r="E276" s="50">
        <v>2179356.2000000002</v>
      </c>
      <c r="F276" s="84">
        <f t="shared" si="43"/>
        <v>0.6205102784579466</v>
      </c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92"/>
      <c r="W276" s="3"/>
      <c r="X276" s="3"/>
      <c r="Y276" s="3"/>
      <c r="Z276" s="3"/>
      <c r="AC276" s="5"/>
      <c r="AD276" s="5"/>
      <c r="AE276" s="5"/>
      <c r="AF276" s="5"/>
      <c r="AG276" s="5"/>
      <c r="AH276" s="5"/>
      <c r="AI276" s="3"/>
      <c r="AJ276" s="3"/>
      <c r="AK276" s="3"/>
      <c r="AL276" s="3"/>
      <c r="AM276" s="3"/>
      <c r="AN276" s="3"/>
      <c r="AO276" s="3"/>
      <c r="AP276" s="3"/>
      <c r="AQ276" s="3"/>
      <c r="AR276" s="6"/>
      <c r="AS276" s="6"/>
      <c r="AT276" s="3"/>
      <c r="AU276" s="3"/>
      <c r="AV276" s="3"/>
      <c r="AW276" s="3"/>
      <c r="BM276" s="3"/>
      <c r="BN276" s="3"/>
    </row>
    <row r="277" spans="1:66" s="4" customFormat="1" ht="28.9" customHeight="1" x14ac:dyDescent="0.25">
      <c r="A277" s="49" t="s">
        <v>547</v>
      </c>
      <c r="B277" s="16" t="s">
        <v>5</v>
      </c>
      <c r="C277" s="17" t="s">
        <v>273</v>
      </c>
      <c r="D277" s="50">
        <f>+D278+D293+D291</f>
        <v>2088327200</v>
      </c>
      <c r="E277" s="50">
        <f>+E278+E293+E291</f>
        <v>1432717809.6900001</v>
      </c>
      <c r="F277" s="84">
        <f t="shared" si="43"/>
        <v>0.68606002435346336</v>
      </c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92"/>
      <c r="W277" s="3"/>
      <c r="X277" s="3"/>
      <c r="Y277" s="3"/>
      <c r="Z277" s="3"/>
      <c r="AC277" s="5"/>
      <c r="AD277" s="5"/>
      <c r="AE277" s="5"/>
      <c r="AF277" s="5"/>
      <c r="AG277" s="5"/>
      <c r="AH277" s="5"/>
      <c r="AI277" s="3"/>
      <c r="AJ277" s="3"/>
      <c r="AK277" s="3"/>
      <c r="AL277" s="3"/>
      <c r="AM277" s="3"/>
      <c r="AN277" s="3"/>
      <c r="AO277" s="3"/>
      <c r="AP277" s="3"/>
      <c r="AQ277" s="3"/>
      <c r="AR277" s="6"/>
      <c r="AS277" s="6"/>
      <c r="AT277" s="3"/>
      <c r="AU277" s="3"/>
      <c r="AV277" s="3"/>
      <c r="AW277" s="3"/>
      <c r="BM277" s="3"/>
      <c r="BN277" s="3"/>
    </row>
    <row r="278" spans="1:66" s="4" customFormat="1" ht="27.6" customHeight="1" x14ac:dyDescent="0.25">
      <c r="A278" s="49" t="s">
        <v>274</v>
      </c>
      <c r="B278" s="16" t="s">
        <v>5</v>
      </c>
      <c r="C278" s="16" t="s">
        <v>275</v>
      </c>
      <c r="D278" s="50">
        <f>+D279</f>
        <v>32277400</v>
      </c>
      <c r="E278" s="50">
        <f>+E279</f>
        <v>18365709.689999998</v>
      </c>
      <c r="F278" s="84">
        <f t="shared" si="43"/>
        <v>0.56899594422103383</v>
      </c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92"/>
      <c r="W278" s="3"/>
      <c r="X278" s="3"/>
      <c r="Y278" s="3"/>
      <c r="Z278" s="3"/>
      <c r="AC278" s="5"/>
      <c r="AD278" s="5"/>
      <c r="AE278" s="5"/>
      <c r="AF278" s="5"/>
      <c r="AG278" s="5"/>
      <c r="AH278" s="5"/>
      <c r="AI278" s="3"/>
      <c r="AJ278" s="3"/>
      <c r="AK278" s="3"/>
      <c r="AL278" s="3"/>
      <c r="AM278" s="3"/>
      <c r="AN278" s="3"/>
      <c r="AO278" s="3"/>
      <c r="AP278" s="3"/>
      <c r="AQ278" s="3"/>
      <c r="AR278" s="6"/>
      <c r="AS278" s="6"/>
      <c r="AT278" s="3"/>
      <c r="AU278" s="3"/>
      <c r="AV278" s="3"/>
      <c r="AW278" s="3"/>
      <c r="BM278" s="3"/>
      <c r="BN278" s="3"/>
    </row>
    <row r="279" spans="1:66" s="40" customFormat="1" ht="30" customHeight="1" x14ac:dyDescent="0.25">
      <c r="A279" s="49" t="s">
        <v>276</v>
      </c>
      <c r="B279" s="16" t="s">
        <v>5</v>
      </c>
      <c r="C279" s="16" t="s">
        <v>277</v>
      </c>
      <c r="D279" s="50">
        <f>SUM(D280:D290)</f>
        <v>32277400</v>
      </c>
      <c r="E279" s="50">
        <f>SUM(E280:E290)</f>
        <v>18365709.689999998</v>
      </c>
      <c r="F279" s="84">
        <f t="shared" si="43"/>
        <v>0.56899594422103383</v>
      </c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93"/>
      <c r="W279" s="39"/>
      <c r="X279" s="39"/>
      <c r="Y279" s="39"/>
      <c r="Z279" s="39"/>
      <c r="AC279" s="41"/>
      <c r="AD279" s="41"/>
      <c r="AE279" s="41"/>
      <c r="AF279" s="41"/>
      <c r="AG279" s="41"/>
      <c r="AH279" s="41"/>
      <c r="AI279" s="39"/>
      <c r="AJ279" s="39"/>
      <c r="AK279" s="39"/>
      <c r="AL279" s="39"/>
      <c r="AM279" s="39"/>
      <c r="AN279" s="39"/>
      <c r="AO279" s="39"/>
      <c r="AP279" s="39"/>
      <c r="AQ279" s="39"/>
      <c r="AR279" s="39"/>
      <c r="AS279" s="39"/>
      <c r="AT279" s="39"/>
      <c r="AU279" s="39"/>
      <c r="AV279" s="39"/>
      <c r="AW279" s="39"/>
      <c r="BM279" s="39"/>
      <c r="BN279" s="39"/>
    </row>
    <row r="280" spans="1:66" s="4" customFormat="1" ht="41.45" customHeight="1" x14ac:dyDescent="0.25">
      <c r="A280" s="48" t="s">
        <v>551</v>
      </c>
      <c r="B280" s="16" t="s">
        <v>256</v>
      </c>
      <c r="C280" s="16" t="s">
        <v>277</v>
      </c>
      <c r="D280" s="117">
        <f>13594600-784700</f>
        <v>12809900</v>
      </c>
      <c r="E280" s="117">
        <v>5618922</v>
      </c>
      <c r="F280" s="84">
        <f t="shared" si="43"/>
        <v>0.43863902138189992</v>
      </c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92"/>
      <c r="W280" s="3"/>
      <c r="X280" s="3"/>
      <c r="Y280" s="3"/>
      <c r="Z280" s="3"/>
      <c r="AC280" s="5"/>
      <c r="AD280" s="5"/>
      <c r="AE280" s="5"/>
      <c r="AF280" s="5"/>
      <c r="AG280" s="5"/>
      <c r="AH280" s="5"/>
      <c r="AI280" s="3"/>
      <c r="AJ280" s="3"/>
      <c r="AK280" s="3"/>
      <c r="AL280" s="3"/>
      <c r="AM280" s="3"/>
      <c r="AN280" s="3"/>
      <c r="AO280" s="3"/>
      <c r="AP280" s="3"/>
      <c r="AQ280" s="3"/>
      <c r="AR280" s="6"/>
      <c r="AS280" s="6"/>
      <c r="AT280" s="3"/>
      <c r="AU280" s="3"/>
      <c r="AV280" s="3"/>
      <c r="AW280" s="3"/>
      <c r="BM280" s="3"/>
      <c r="BN280" s="3"/>
    </row>
    <row r="281" spans="1:66" s="4" customFormat="1" ht="82.15" customHeight="1" x14ac:dyDescent="0.25">
      <c r="A281" s="28" t="s">
        <v>550</v>
      </c>
      <c r="B281" s="16" t="s">
        <v>256</v>
      </c>
      <c r="C281" s="16" t="s">
        <v>277</v>
      </c>
      <c r="D281" s="117">
        <v>80000</v>
      </c>
      <c r="E281" s="117">
        <v>39653</v>
      </c>
      <c r="F281" s="84">
        <f t="shared" si="43"/>
        <v>0.49566250000000001</v>
      </c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92"/>
      <c r="W281" s="3"/>
      <c r="X281" s="3"/>
      <c r="Y281" s="3"/>
      <c r="Z281" s="3"/>
      <c r="AC281" s="5"/>
      <c r="AD281" s="5"/>
      <c r="AE281" s="5"/>
      <c r="AF281" s="5"/>
      <c r="AG281" s="5"/>
      <c r="AH281" s="5"/>
      <c r="AI281" s="3"/>
      <c r="AJ281" s="3"/>
      <c r="AK281" s="3"/>
      <c r="AL281" s="3"/>
      <c r="AM281" s="3"/>
      <c r="AN281" s="3"/>
      <c r="AO281" s="3"/>
      <c r="AP281" s="3"/>
      <c r="AQ281" s="3"/>
      <c r="AR281" s="6"/>
      <c r="AS281" s="6"/>
      <c r="AT281" s="3"/>
      <c r="AU281" s="3"/>
      <c r="AV281" s="3"/>
      <c r="AW281" s="3"/>
      <c r="AY281" s="142"/>
      <c r="AZ281" s="142"/>
      <c r="BA281" s="142"/>
      <c r="BB281" s="142"/>
      <c r="BC281" s="142"/>
      <c r="BD281" s="142"/>
      <c r="BM281" s="3"/>
      <c r="BN281" s="3"/>
    </row>
    <row r="282" spans="1:66" s="4" customFormat="1" ht="46.15" customHeight="1" x14ac:dyDescent="0.25">
      <c r="A282" s="130" t="s">
        <v>560</v>
      </c>
      <c r="B282" s="16" t="s">
        <v>256</v>
      </c>
      <c r="C282" s="16" t="s">
        <v>277</v>
      </c>
      <c r="D282" s="117">
        <f>3612000-853300</f>
        <v>2758700</v>
      </c>
      <c r="E282" s="117">
        <v>1549434</v>
      </c>
      <c r="F282" s="84">
        <f t="shared" si="43"/>
        <v>0.56165367745677308</v>
      </c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92"/>
      <c r="W282" s="3"/>
      <c r="X282" s="3"/>
      <c r="Y282" s="3"/>
      <c r="Z282" s="3"/>
      <c r="AC282" s="5"/>
      <c r="AD282" s="5"/>
      <c r="AE282" s="5"/>
      <c r="AF282" s="5"/>
      <c r="AG282" s="5"/>
      <c r="AH282" s="5"/>
      <c r="AI282" s="3"/>
      <c r="AJ282" s="3"/>
      <c r="AK282" s="3"/>
      <c r="AL282" s="3"/>
      <c r="AM282" s="3"/>
      <c r="AN282" s="3"/>
      <c r="AO282" s="3"/>
      <c r="AP282" s="3"/>
      <c r="AQ282" s="3"/>
      <c r="AR282" s="6"/>
      <c r="AS282" s="6"/>
      <c r="AT282" s="3"/>
      <c r="AU282" s="3"/>
      <c r="AV282" s="3"/>
      <c r="AW282" s="3"/>
      <c r="AZ282" s="143"/>
      <c r="BA282" s="143"/>
      <c r="BB282" s="143"/>
      <c r="BC282" s="143"/>
      <c r="BD282" s="143"/>
      <c r="BE282" s="143"/>
      <c r="BM282" s="3"/>
      <c r="BN282" s="3"/>
    </row>
    <row r="283" spans="1:66" s="40" customFormat="1" ht="43.9" customHeight="1" x14ac:dyDescent="0.25">
      <c r="A283" s="48" t="s">
        <v>555</v>
      </c>
      <c r="B283" s="16" t="s">
        <v>212</v>
      </c>
      <c r="C283" s="16" t="s">
        <v>277</v>
      </c>
      <c r="D283" s="50">
        <f>62200+3300+19900</f>
        <v>85400</v>
      </c>
      <c r="E283" s="50">
        <v>58785.59</v>
      </c>
      <c r="F283" s="84">
        <f t="shared" si="43"/>
        <v>0.68835585480093675</v>
      </c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93"/>
      <c r="W283" s="39"/>
      <c r="X283" s="39"/>
      <c r="Y283" s="39"/>
      <c r="Z283" s="39"/>
      <c r="AC283" s="41"/>
      <c r="AD283" s="41"/>
      <c r="AE283" s="41"/>
      <c r="AF283" s="41"/>
      <c r="AG283" s="41"/>
      <c r="AH283" s="41"/>
      <c r="AI283" s="39"/>
      <c r="AJ283" s="39"/>
      <c r="AK283" s="39"/>
      <c r="AL283" s="39"/>
      <c r="AM283" s="39"/>
      <c r="AN283" s="39"/>
      <c r="AO283" s="39"/>
      <c r="AP283" s="39"/>
      <c r="AQ283" s="39"/>
      <c r="AR283" s="39"/>
      <c r="AS283" s="39"/>
      <c r="AT283" s="39"/>
      <c r="AU283" s="39"/>
      <c r="AV283" s="39"/>
      <c r="AW283" s="39"/>
      <c r="BM283" s="39"/>
      <c r="BN283" s="39"/>
    </row>
    <row r="284" spans="1:66" s="40" customFormat="1" ht="39" customHeight="1" x14ac:dyDescent="0.25">
      <c r="A284" s="49" t="s">
        <v>556</v>
      </c>
      <c r="B284" s="16" t="s">
        <v>212</v>
      </c>
      <c r="C284" s="16" t="s">
        <v>277</v>
      </c>
      <c r="D284" s="117">
        <f>182600+59400</f>
        <v>242000</v>
      </c>
      <c r="E284" s="117">
        <v>165749.49</v>
      </c>
      <c r="F284" s="84">
        <f t="shared" si="43"/>
        <v>0.68491524793388425</v>
      </c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93"/>
      <c r="W284" s="39"/>
      <c r="X284" s="39"/>
      <c r="Y284" s="39"/>
      <c r="Z284" s="39"/>
      <c r="AC284" s="41"/>
      <c r="AD284" s="41"/>
      <c r="AE284" s="41"/>
      <c r="AF284" s="41"/>
      <c r="AG284" s="41"/>
      <c r="AH284" s="41"/>
      <c r="AI284" s="39"/>
      <c r="AJ284" s="39"/>
      <c r="AK284" s="39"/>
      <c r="AL284" s="39"/>
      <c r="AM284" s="39"/>
      <c r="AN284" s="39"/>
      <c r="AO284" s="39"/>
      <c r="AP284" s="39"/>
      <c r="AQ284" s="39"/>
      <c r="AR284" s="39"/>
      <c r="AS284" s="39"/>
      <c r="AT284" s="39"/>
      <c r="AU284" s="39"/>
      <c r="AV284" s="39"/>
      <c r="AW284" s="39"/>
      <c r="BM284" s="39"/>
      <c r="BN284" s="39"/>
    </row>
    <row r="285" spans="1:66" s="40" customFormat="1" ht="53.45" customHeight="1" x14ac:dyDescent="0.25">
      <c r="A285" s="48" t="s">
        <v>553</v>
      </c>
      <c r="B285" s="16" t="s">
        <v>212</v>
      </c>
      <c r="C285" s="16" t="s">
        <v>277</v>
      </c>
      <c r="D285" s="119">
        <f>4120800+1387000</f>
        <v>5507800</v>
      </c>
      <c r="E285" s="119">
        <v>3683703.93</v>
      </c>
      <c r="F285" s="84">
        <f t="shared" si="43"/>
        <v>0.66881584843313124</v>
      </c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93"/>
      <c r="W285" s="39"/>
      <c r="X285" s="39"/>
      <c r="Y285" s="39"/>
      <c r="Z285" s="39"/>
      <c r="AC285" s="41"/>
      <c r="AD285" s="41"/>
      <c r="AE285" s="41"/>
      <c r="AF285" s="41"/>
      <c r="AG285" s="41"/>
      <c r="AH285" s="41"/>
      <c r="AI285" s="39"/>
      <c r="AJ285" s="39"/>
      <c r="AK285" s="39"/>
      <c r="AL285" s="39"/>
      <c r="AM285" s="39"/>
      <c r="AN285" s="39"/>
      <c r="AO285" s="39"/>
      <c r="AP285" s="39"/>
      <c r="AQ285" s="39"/>
      <c r="AR285" s="39"/>
      <c r="AS285" s="39"/>
      <c r="AT285" s="39"/>
      <c r="AU285" s="39"/>
      <c r="AV285" s="39"/>
      <c r="AW285" s="39"/>
      <c r="BM285" s="39"/>
      <c r="BN285" s="39"/>
    </row>
    <row r="286" spans="1:66" s="4" customFormat="1" ht="57" customHeight="1" x14ac:dyDescent="0.25">
      <c r="A286" s="48" t="s">
        <v>552</v>
      </c>
      <c r="B286" s="16" t="s">
        <v>212</v>
      </c>
      <c r="C286" s="16" t="s">
        <v>277</v>
      </c>
      <c r="D286" s="117">
        <f>3257100+179300+993200</f>
        <v>4429600</v>
      </c>
      <c r="E286" s="117">
        <v>2823114.71</v>
      </c>
      <c r="F286" s="84">
        <f t="shared" si="43"/>
        <v>0.63732949024742636</v>
      </c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92"/>
      <c r="W286" s="3"/>
      <c r="X286" s="3"/>
      <c r="Y286" s="3"/>
      <c r="Z286" s="3"/>
      <c r="AC286" s="5"/>
      <c r="AD286" s="5"/>
      <c r="AE286" s="5"/>
      <c r="AF286" s="5"/>
      <c r="AG286" s="5"/>
      <c r="AH286" s="5"/>
      <c r="AI286" s="3"/>
      <c r="AJ286" s="3"/>
      <c r="AK286" s="3"/>
      <c r="AL286" s="3"/>
      <c r="AM286" s="3"/>
      <c r="AN286" s="3"/>
      <c r="AO286" s="3"/>
      <c r="AP286" s="3"/>
      <c r="AQ286" s="3"/>
      <c r="AR286" s="6"/>
      <c r="AS286" s="6"/>
      <c r="AT286" s="3"/>
      <c r="AU286" s="3"/>
      <c r="AV286" s="3"/>
      <c r="AW286" s="3"/>
      <c r="BM286" s="3"/>
      <c r="BN286" s="3"/>
    </row>
    <row r="287" spans="1:66" s="40" customFormat="1" ht="28.9" customHeight="1" x14ac:dyDescent="0.25">
      <c r="A287" s="49" t="s">
        <v>554</v>
      </c>
      <c r="B287" s="16" t="s">
        <v>212</v>
      </c>
      <c r="C287" s="16" t="s">
        <v>277</v>
      </c>
      <c r="D287" s="119">
        <f>1077800+385400</f>
        <v>1463200</v>
      </c>
      <c r="E287" s="119">
        <v>1003965.51</v>
      </c>
      <c r="F287" s="84">
        <f t="shared" si="43"/>
        <v>0.68614373291416075</v>
      </c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93"/>
      <c r="W287" s="39"/>
      <c r="X287" s="39"/>
      <c r="Y287" s="39"/>
      <c r="Z287" s="39"/>
      <c r="AC287" s="41"/>
      <c r="AD287" s="41"/>
      <c r="AE287" s="41"/>
      <c r="AF287" s="41"/>
      <c r="AG287" s="41"/>
      <c r="AH287" s="41"/>
      <c r="AI287" s="39"/>
      <c r="AJ287" s="39"/>
      <c r="AK287" s="39"/>
      <c r="AL287" s="39"/>
      <c r="AM287" s="39"/>
      <c r="AN287" s="39"/>
      <c r="AO287" s="39"/>
      <c r="AP287" s="39"/>
      <c r="AQ287" s="39"/>
      <c r="AR287" s="39"/>
      <c r="AS287" s="39"/>
      <c r="AT287" s="39"/>
      <c r="AU287" s="39"/>
      <c r="AV287" s="39"/>
      <c r="AW287" s="39"/>
      <c r="BM287" s="39"/>
      <c r="BN287" s="39"/>
    </row>
    <row r="288" spans="1:66" s="40" customFormat="1" ht="82.15" customHeight="1" x14ac:dyDescent="0.25">
      <c r="A288" s="49" t="s">
        <v>559</v>
      </c>
      <c r="B288" s="16" t="s">
        <v>212</v>
      </c>
      <c r="C288" s="16" t="s">
        <v>277</v>
      </c>
      <c r="D288" s="118">
        <v>700</v>
      </c>
      <c r="E288" s="118">
        <v>682</v>
      </c>
      <c r="F288" s="84">
        <f t="shared" si="43"/>
        <v>0.97428571428571431</v>
      </c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93"/>
      <c r="W288" s="39"/>
      <c r="X288" s="39"/>
      <c r="Y288" s="39"/>
      <c r="Z288" s="39"/>
      <c r="AC288" s="41"/>
      <c r="AD288" s="41"/>
      <c r="AE288" s="41"/>
      <c r="AF288" s="41"/>
      <c r="AG288" s="41"/>
      <c r="AH288" s="41"/>
      <c r="AI288" s="39"/>
      <c r="AJ288" s="39"/>
      <c r="AK288" s="39"/>
      <c r="AL288" s="39"/>
      <c r="AM288" s="39"/>
      <c r="AN288" s="39"/>
      <c r="AO288" s="39"/>
      <c r="AP288" s="39"/>
      <c r="AQ288" s="39"/>
      <c r="AR288" s="39"/>
      <c r="AS288" s="39"/>
      <c r="AT288" s="39"/>
      <c r="AU288" s="39"/>
      <c r="AV288" s="39"/>
      <c r="AW288" s="39"/>
      <c r="BM288" s="39"/>
      <c r="BN288" s="39"/>
    </row>
    <row r="289" spans="1:66" s="4" customFormat="1" ht="47.45" customHeight="1" x14ac:dyDescent="0.25">
      <c r="A289" s="49" t="s">
        <v>558</v>
      </c>
      <c r="B289" s="16" t="s">
        <v>212</v>
      </c>
      <c r="C289" s="16" t="s">
        <v>277</v>
      </c>
      <c r="D289" s="117">
        <f>2154300+110400+671100</f>
        <v>2935800</v>
      </c>
      <c r="E289" s="117">
        <v>2007949.46</v>
      </c>
      <c r="F289" s="84">
        <f t="shared" si="43"/>
        <v>0.68395308263505683</v>
      </c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92"/>
      <c r="W289" s="3"/>
      <c r="X289" s="3"/>
      <c r="Y289" s="3"/>
      <c r="Z289" s="3"/>
      <c r="AC289" s="5"/>
      <c r="AD289" s="5"/>
      <c r="AE289" s="5"/>
      <c r="AF289" s="5"/>
      <c r="AG289" s="5"/>
      <c r="AH289" s="5"/>
      <c r="AI289" s="3"/>
      <c r="AJ289" s="3"/>
      <c r="AK289" s="3"/>
      <c r="AL289" s="3"/>
      <c r="AM289" s="3"/>
      <c r="AN289" s="3"/>
      <c r="AO289" s="3"/>
      <c r="AP289" s="3"/>
      <c r="AQ289" s="3"/>
      <c r="AR289" s="6"/>
      <c r="AS289" s="6"/>
      <c r="AT289" s="3"/>
      <c r="AU289" s="3"/>
      <c r="AV289" s="3"/>
      <c r="AW289" s="3"/>
      <c r="BM289" s="3"/>
      <c r="BN289" s="3"/>
    </row>
    <row r="290" spans="1:66" s="4" customFormat="1" ht="67.900000000000006" customHeight="1" x14ac:dyDescent="0.25">
      <c r="A290" s="131" t="s">
        <v>557</v>
      </c>
      <c r="B290" s="16" t="s">
        <v>79</v>
      </c>
      <c r="C290" s="16" t="s">
        <v>277</v>
      </c>
      <c r="D290" s="117">
        <f>1320900+97800+545600</f>
        <v>1964300</v>
      </c>
      <c r="E290" s="117">
        <v>1413750</v>
      </c>
      <c r="F290" s="84">
        <f t="shared" si="43"/>
        <v>0.71972203838517534</v>
      </c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92"/>
      <c r="W290" s="3"/>
      <c r="X290" s="3"/>
      <c r="Y290" s="3"/>
      <c r="Z290" s="3"/>
      <c r="AC290" s="5"/>
      <c r="AD290" s="5"/>
      <c r="AE290" s="5"/>
      <c r="AF290" s="5"/>
      <c r="AG290" s="5"/>
      <c r="AH290" s="5"/>
      <c r="AI290" s="3"/>
      <c r="AJ290" s="3"/>
      <c r="AK290" s="3"/>
      <c r="AL290" s="3"/>
      <c r="AM290" s="3"/>
      <c r="AN290" s="3"/>
      <c r="AO290" s="3"/>
      <c r="AP290" s="3"/>
      <c r="AQ290" s="3"/>
      <c r="AR290" s="6"/>
      <c r="AS290" s="6"/>
      <c r="AT290" s="3"/>
      <c r="AU290" s="3"/>
      <c r="AV290" s="3"/>
      <c r="AW290" s="3"/>
      <c r="AY290" s="144"/>
      <c r="AZ290" s="144"/>
      <c r="BA290" s="144"/>
      <c r="BB290" s="144"/>
      <c r="BC290" s="144"/>
      <c r="BD290" s="144"/>
      <c r="BM290" s="3"/>
      <c r="BN290" s="3"/>
    </row>
    <row r="291" spans="1:66" s="4" customFormat="1" ht="55.9" customHeight="1" x14ac:dyDescent="0.25">
      <c r="A291" s="49" t="s">
        <v>331</v>
      </c>
      <c r="B291" s="16" t="s">
        <v>5</v>
      </c>
      <c r="C291" s="37" t="s">
        <v>278</v>
      </c>
      <c r="D291" s="132">
        <f>+D292</f>
        <v>11600</v>
      </c>
      <c r="E291" s="117">
        <f>+E292</f>
        <v>11600</v>
      </c>
      <c r="F291" s="84">
        <f t="shared" si="43"/>
        <v>1</v>
      </c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92"/>
      <c r="W291" s="3"/>
      <c r="X291" s="3"/>
      <c r="Y291" s="3"/>
      <c r="Z291" s="3"/>
      <c r="AC291" s="5"/>
      <c r="AD291" s="5"/>
      <c r="AE291" s="5"/>
      <c r="AF291" s="5"/>
      <c r="AG291" s="5"/>
      <c r="AH291" s="5"/>
      <c r="AI291" s="3"/>
      <c r="AJ291" s="3"/>
      <c r="AK291" s="3"/>
      <c r="AL291" s="3"/>
      <c r="AM291" s="3"/>
      <c r="AN291" s="3"/>
      <c r="AO291" s="3"/>
      <c r="AP291" s="3"/>
      <c r="AQ291" s="3"/>
      <c r="AR291" s="6"/>
      <c r="AS291" s="6"/>
      <c r="AT291" s="3"/>
      <c r="AU291" s="3"/>
      <c r="AV291" s="3"/>
      <c r="AW291" s="3"/>
      <c r="BM291" s="3"/>
      <c r="BN291" s="3"/>
    </row>
    <row r="292" spans="1:66" s="4" customFormat="1" ht="53.45" customHeight="1" x14ac:dyDescent="0.25">
      <c r="A292" s="49" t="s">
        <v>279</v>
      </c>
      <c r="B292" s="16" t="s">
        <v>212</v>
      </c>
      <c r="C292" s="37" t="s">
        <v>280</v>
      </c>
      <c r="D292" s="132">
        <f>1300+10300</f>
        <v>11600</v>
      </c>
      <c r="E292" s="117">
        <v>11600</v>
      </c>
      <c r="F292" s="84">
        <f t="shared" si="43"/>
        <v>1</v>
      </c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92"/>
      <c r="W292" s="3"/>
      <c r="X292" s="3"/>
      <c r="Y292" s="3"/>
      <c r="Z292" s="3"/>
      <c r="AC292" s="5"/>
      <c r="AD292" s="5"/>
      <c r="AE292" s="5"/>
      <c r="AF292" s="5"/>
      <c r="AG292" s="5"/>
      <c r="AH292" s="5"/>
      <c r="AI292" s="3"/>
      <c r="AJ292" s="3"/>
      <c r="AK292" s="3"/>
      <c r="AL292" s="3"/>
      <c r="AM292" s="3"/>
      <c r="AN292" s="3"/>
      <c r="AO292" s="3"/>
      <c r="AP292" s="3"/>
      <c r="AQ292" s="3"/>
      <c r="AR292" s="6"/>
      <c r="AS292" s="6"/>
      <c r="AT292" s="3"/>
      <c r="AU292" s="3"/>
      <c r="AV292" s="3"/>
      <c r="AW292" s="3"/>
      <c r="BM292" s="3"/>
      <c r="BN292" s="3"/>
    </row>
    <row r="293" spans="1:66" s="4" customFormat="1" ht="16.149999999999999" customHeight="1" x14ac:dyDescent="0.25">
      <c r="A293" s="49" t="s">
        <v>281</v>
      </c>
      <c r="B293" s="16" t="s">
        <v>5</v>
      </c>
      <c r="C293" s="17" t="s">
        <v>282</v>
      </c>
      <c r="D293" s="50">
        <f>+D294</f>
        <v>2056038200</v>
      </c>
      <c r="E293" s="50">
        <f>+E294</f>
        <v>1414340500</v>
      </c>
      <c r="F293" s="84">
        <f t="shared" si="43"/>
        <v>0.68789602255444471</v>
      </c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92"/>
      <c r="W293" s="3"/>
      <c r="X293" s="3"/>
      <c r="Y293" s="3"/>
      <c r="Z293" s="3"/>
      <c r="AC293" s="5"/>
      <c r="AD293" s="5"/>
      <c r="AE293" s="5"/>
      <c r="AF293" s="5"/>
      <c r="AG293" s="5"/>
      <c r="AH293" s="5"/>
      <c r="AI293" s="3"/>
      <c r="AJ293" s="3"/>
      <c r="AK293" s="3"/>
      <c r="AL293" s="3"/>
      <c r="AM293" s="3"/>
      <c r="AN293" s="3"/>
      <c r="AO293" s="3"/>
      <c r="AP293" s="3"/>
      <c r="AQ293" s="3"/>
      <c r="AR293" s="6"/>
      <c r="AS293" s="6"/>
      <c r="AT293" s="3"/>
      <c r="AU293" s="3"/>
      <c r="AV293" s="3"/>
      <c r="AW293" s="3"/>
      <c r="BM293" s="3"/>
      <c r="BN293" s="3"/>
    </row>
    <row r="294" spans="1:66" s="4" customFormat="1" ht="18" customHeight="1" x14ac:dyDescent="0.25">
      <c r="A294" s="49" t="s">
        <v>283</v>
      </c>
      <c r="B294" s="16" t="s">
        <v>5</v>
      </c>
      <c r="C294" s="17" t="s">
        <v>284</v>
      </c>
      <c r="D294" s="50">
        <f t="shared" ref="D294:E294" si="44">+D295+D296</f>
        <v>2056038200</v>
      </c>
      <c r="E294" s="50">
        <f t="shared" si="44"/>
        <v>1414340500</v>
      </c>
      <c r="F294" s="84">
        <f t="shared" si="43"/>
        <v>0.68789602255444471</v>
      </c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92"/>
      <c r="W294" s="3"/>
      <c r="X294" s="3"/>
      <c r="Y294" s="3"/>
      <c r="Z294" s="3"/>
      <c r="AC294" s="5"/>
      <c r="AD294" s="5"/>
      <c r="AE294" s="5"/>
      <c r="AF294" s="5"/>
      <c r="AG294" s="5"/>
      <c r="AH294" s="5"/>
      <c r="AI294" s="3"/>
      <c r="AJ294" s="3"/>
      <c r="AK294" s="3"/>
      <c r="AL294" s="3"/>
      <c r="AM294" s="3"/>
      <c r="AN294" s="3"/>
      <c r="AO294" s="3"/>
      <c r="AP294" s="3"/>
      <c r="AQ294" s="3"/>
      <c r="AR294" s="6"/>
      <c r="AS294" s="6"/>
      <c r="AT294" s="3"/>
      <c r="AU294" s="3"/>
      <c r="AV294" s="3"/>
      <c r="AW294" s="3"/>
      <c r="BM294" s="3"/>
      <c r="BN294" s="3"/>
    </row>
    <row r="295" spans="1:66" s="4" customFormat="1" ht="79.150000000000006" customHeight="1" x14ac:dyDescent="0.25">
      <c r="A295" s="48" t="s">
        <v>285</v>
      </c>
      <c r="B295" s="16" t="s">
        <v>256</v>
      </c>
      <c r="C295" s="17" t="s">
        <v>286</v>
      </c>
      <c r="D295" s="51">
        <f>929178000+58752700</f>
        <v>987930700</v>
      </c>
      <c r="E295" s="136">
        <v>691628500</v>
      </c>
      <c r="F295" s="84">
        <f t="shared" si="43"/>
        <v>0.70007795081173207</v>
      </c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92"/>
      <c r="W295" s="3"/>
      <c r="X295" s="3"/>
      <c r="Y295" s="3"/>
      <c r="Z295" s="3"/>
      <c r="AC295" s="5"/>
      <c r="AD295" s="5"/>
      <c r="AE295" s="5"/>
      <c r="AF295" s="5"/>
      <c r="AG295" s="5"/>
      <c r="AH295" s="5"/>
      <c r="AI295" s="3"/>
      <c r="AJ295" s="3"/>
      <c r="AK295" s="3"/>
      <c r="AL295" s="3"/>
      <c r="AM295" s="3"/>
      <c r="AN295" s="3"/>
      <c r="AO295" s="3"/>
      <c r="AP295" s="3"/>
      <c r="AQ295" s="3"/>
      <c r="AR295" s="6"/>
      <c r="AS295" s="6"/>
      <c r="AT295" s="3"/>
      <c r="AU295" s="3"/>
      <c r="AV295" s="3"/>
      <c r="AW295" s="3"/>
      <c r="BM295" s="3"/>
      <c r="BN295" s="3"/>
    </row>
    <row r="296" spans="1:66" s="4" customFormat="1" ht="57" customHeight="1" x14ac:dyDescent="0.25">
      <c r="A296" s="48" t="s">
        <v>287</v>
      </c>
      <c r="B296" s="16" t="s">
        <v>256</v>
      </c>
      <c r="C296" s="17" t="s">
        <v>284</v>
      </c>
      <c r="D296" s="51">
        <f>1020012200+48095300</f>
        <v>1068107500</v>
      </c>
      <c r="E296" s="136">
        <v>722712000</v>
      </c>
      <c r="F296" s="84">
        <f t="shared" si="43"/>
        <v>0.67662852287808106</v>
      </c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92"/>
      <c r="W296" s="3"/>
      <c r="X296" s="3"/>
      <c r="Y296" s="3"/>
      <c r="Z296" s="3"/>
      <c r="AC296" s="5"/>
      <c r="AD296" s="5"/>
      <c r="AE296" s="5"/>
      <c r="AF296" s="5"/>
      <c r="AG296" s="5"/>
      <c r="AH296" s="5"/>
      <c r="AI296" s="3"/>
      <c r="AJ296" s="3"/>
      <c r="AK296" s="3"/>
      <c r="AL296" s="3"/>
      <c r="AM296" s="3"/>
      <c r="AN296" s="3"/>
      <c r="AO296" s="3"/>
      <c r="AP296" s="3"/>
      <c r="AQ296" s="3"/>
      <c r="AR296" s="6"/>
      <c r="AS296" s="6"/>
      <c r="AT296" s="3"/>
      <c r="AU296" s="3"/>
      <c r="AV296" s="3"/>
      <c r="AW296" s="3"/>
      <c r="BM296" s="3"/>
      <c r="BN296" s="3"/>
    </row>
    <row r="297" spans="1:66" s="4" customFormat="1" ht="16.899999999999999" customHeight="1" x14ac:dyDescent="0.25">
      <c r="A297" s="48" t="s">
        <v>396</v>
      </c>
      <c r="B297" s="16" t="s">
        <v>5</v>
      </c>
      <c r="C297" s="17" t="s">
        <v>397</v>
      </c>
      <c r="D297" s="51">
        <f>+D298+D300+D303</f>
        <v>68264900</v>
      </c>
      <c r="E297" s="51">
        <f>+E298+E300+E303+E305</f>
        <v>47624237.399999999</v>
      </c>
      <c r="F297" s="84">
        <f t="shared" si="43"/>
        <v>0.69763871916607212</v>
      </c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92"/>
      <c r="W297" s="3"/>
      <c r="X297" s="3"/>
      <c r="Y297" s="3"/>
      <c r="Z297" s="3"/>
      <c r="AC297" s="5"/>
      <c r="AD297" s="5"/>
      <c r="AE297" s="5"/>
      <c r="AF297" s="5"/>
      <c r="AG297" s="5"/>
      <c r="AH297" s="5"/>
      <c r="AI297" s="3"/>
      <c r="AJ297" s="3"/>
      <c r="AK297" s="3"/>
      <c r="AL297" s="3"/>
      <c r="AM297" s="3"/>
      <c r="AN297" s="3"/>
      <c r="AO297" s="3"/>
      <c r="AP297" s="3"/>
      <c r="AQ297" s="3"/>
      <c r="AR297" s="6"/>
      <c r="AS297" s="6"/>
      <c r="AT297" s="3"/>
      <c r="AU297" s="3"/>
      <c r="AV297" s="3"/>
      <c r="AW297" s="3"/>
      <c r="BM297" s="3"/>
      <c r="BN297" s="3"/>
    </row>
    <row r="298" spans="1:66" s="4" customFormat="1" ht="68.45" customHeight="1" x14ac:dyDescent="0.25">
      <c r="A298" s="48" t="s">
        <v>403</v>
      </c>
      <c r="B298" s="16" t="s">
        <v>5</v>
      </c>
      <c r="C298" s="76" t="s">
        <v>399</v>
      </c>
      <c r="D298" s="51">
        <f>+D299</f>
        <v>5673900</v>
      </c>
      <c r="E298" s="51">
        <f t="shared" ref="E298" si="45">+E299</f>
        <v>3486337.4</v>
      </c>
      <c r="F298" s="84">
        <f t="shared" si="43"/>
        <v>0.61445168226440361</v>
      </c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92"/>
      <c r="W298" s="3"/>
      <c r="X298" s="3"/>
      <c r="Y298" s="3"/>
      <c r="Z298" s="3"/>
      <c r="AC298" s="5"/>
      <c r="AD298" s="5"/>
      <c r="AE298" s="5"/>
      <c r="AF298" s="5"/>
      <c r="AG298" s="5"/>
      <c r="AH298" s="5"/>
      <c r="AI298" s="3"/>
      <c r="AJ298" s="3"/>
      <c r="AK298" s="3"/>
      <c r="AL298" s="3"/>
      <c r="AM298" s="3"/>
      <c r="AN298" s="3"/>
      <c r="AO298" s="3"/>
      <c r="AP298" s="3"/>
      <c r="AQ298" s="3"/>
      <c r="AR298" s="6"/>
      <c r="AS298" s="6"/>
      <c r="AT298" s="3"/>
      <c r="AU298" s="3"/>
      <c r="AV298" s="3"/>
      <c r="AW298" s="3"/>
      <c r="BM298" s="3"/>
      <c r="BN298" s="3"/>
    </row>
    <row r="299" spans="1:66" s="4" customFormat="1" ht="69.599999999999994" customHeight="1" x14ac:dyDescent="0.25">
      <c r="A299" s="48" t="s">
        <v>398</v>
      </c>
      <c r="B299" s="16" t="s">
        <v>256</v>
      </c>
      <c r="C299" s="76" t="s">
        <v>400</v>
      </c>
      <c r="D299" s="51">
        <v>5673900</v>
      </c>
      <c r="E299" s="51">
        <v>3486337.4</v>
      </c>
      <c r="F299" s="84">
        <f t="shared" si="43"/>
        <v>0.61445168226440361</v>
      </c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92"/>
      <c r="W299" s="3"/>
      <c r="X299" s="3"/>
      <c r="Y299" s="3"/>
      <c r="Z299" s="3"/>
      <c r="AC299" s="5"/>
      <c r="AD299" s="5"/>
      <c r="AE299" s="5"/>
      <c r="AF299" s="5"/>
      <c r="AG299" s="5"/>
      <c r="AH299" s="5"/>
      <c r="AI299" s="3"/>
      <c r="AJ299" s="3"/>
      <c r="AK299" s="3"/>
      <c r="AL299" s="3"/>
      <c r="AM299" s="3"/>
      <c r="AN299" s="3"/>
      <c r="AO299" s="3"/>
      <c r="AP299" s="3"/>
      <c r="AQ299" s="3"/>
      <c r="AR299" s="6"/>
      <c r="AS299" s="6"/>
      <c r="AT299" s="3"/>
      <c r="AU299" s="3"/>
      <c r="AV299" s="3"/>
      <c r="AW299" s="3"/>
      <c r="BM299" s="3"/>
      <c r="BN299" s="3"/>
    </row>
    <row r="300" spans="1:66" s="4" customFormat="1" ht="98.45" customHeight="1" x14ac:dyDescent="0.25">
      <c r="A300" s="49" t="s">
        <v>405</v>
      </c>
      <c r="B300" s="16" t="s">
        <v>5</v>
      </c>
      <c r="C300" s="17" t="s">
        <v>401</v>
      </c>
      <c r="D300" s="51">
        <f>+D301</f>
        <v>55683900</v>
      </c>
      <c r="E300" s="51">
        <f t="shared" ref="E300" si="46">+E301</f>
        <v>35695700</v>
      </c>
      <c r="F300" s="84">
        <f t="shared" si="43"/>
        <v>0.64104166554425968</v>
      </c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92"/>
      <c r="W300" s="3"/>
      <c r="X300" s="3"/>
      <c r="Y300" s="3"/>
      <c r="Z300" s="3"/>
      <c r="AC300" s="5"/>
      <c r="AD300" s="5"/>
      <c r="AE300" s="5"/>
      <c r="AF300" s="5"/>
      <c r="AG300" s="5"/>
      <c r="AH300" s="5"/>
      <c r="AI300" s="3"/>
      <c r="AJ300" s="3"/>
      <c r="AK300" s="3"/>
      <c r="AL300" s="3"/>
      <c r="AM300" s="3"/>
      <c r="AN300" s="3"/>
      <c r="AO300" s="3"/>
      <c r="AP300" s="3"/>
      <c r="AQ300" s="3"/>
      <c r="AR300" s="6"/>
      <c r="AS300" s="6"/>
      <c r="AT300" s="3"/>
      <c r="AU300" s="3"/>
      <c r="AV300" s="3"/>
      <c r="AW300" s="3"/>
      <c r="BM300" s="3"/>
      <c r="BN300" s="3"/>
    </row>
    <row r="301" spans="1:66" s="4" customFormat="1" ht="99.6" customHeight="1" x14ac:dyDescent="0.25">
      <c r="A301" s="49" t="s">
        <v>404</v>
      </c>
      <c r="B301" s="16" t="s">
        <v>256</v>
      </c>
      <c r="C301" s="17" t="s">
        <v>402</v>
      </c>
      <c r="D301" s="51">
        <v>55683900</v>
      </c>
      <c r="E301" s="51">
        <v>35695700</v>
      </c>
      <c r="F301" s="84">
        <f t="shared" si="43"/>
        <v>0.64104166554425968</v>
      </c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92"/>
      <c r="W301" s="3"/>
      <c r="X301" s="3"/>
      <c r="Y301" s="3"/>
      <c r="Z301" s="3"/>
      <c r="AC301" s="5"/>
      <c r="AD301" s="5"/>
      <c r="AE301" s="5"/>
      <c r="AF301" s="5"/>
      <c r="AG301" s="5"/>
      <c r="AH301" s="5"/>
      <c r="AI301" s="3"/>
      <c r="AJ301" s="3"/>
      <c r="AK301" s="3"/>
      <c r="AL301" s="3"/>
      <c r="AM301" s="3"/>
      <c r="AN301" s="3"/>
      <c r="AO301" s="3"/>
      <c r="AP301" s="3"/>
      <c r="AQ301" s="3"/>
      <c r="AR301" s="6"/>
      <c r="AS301" s="6"/>
      <c r="AT301" s="3"/>
      <c r="AU301" s="3"/>
      <c r="AV301" s="3"/>
      <c r="AW301" s="3"/>
      <c r="BM301" s="3"/>
      <c r="BN301" s="3"/>
    </row>
    <row r="302" spans="1:66" s="4" customFormat="1" ht="54.6" customHeight="1" x14ac:dyDescent="0.25">
      <c r="A302" s="49" t="s">
        <v>482</v>
      </c>
      <c r="B302" s="16" t="s">
        <v>5</v>
      </c>
      <c r="C302" s="17" t="s">
        <v>483</v>
      </c>
      <c r="D302" s="51">
        <f>+D303</f>
        <v>6907100</v>
      </c>
      <c r="E302" s="51">
        <f>+E303</f>
        <v>0</v>
      </c>
      <c r="F302" s="84">
        <f t="shared" si="43"/>
        <v>0</v>
      </c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92"/>
      <c r="W302" s="3"/>
      <c r="X302" s="3"/>
      <c r="Y302" s="3"/>
      <c r="Z302" s="3"/>
      <c r="AC302" s="5"/>
      <c r="AD302" s="5"/>
      <c r="AE302" s="5"/>
      <c r="AF302" s="5"/>
      <c r="AG302" s="5"/>
      <c r="AH302" s="5"/>
      <c r="AI302" s="3"/>
      <c r="AJ302" s="3"/>
      <c r="AK302" s="3"/>
      <c r="AL302" s="3"/>
      <c r="AM302" s="3"/>
      <c r="AN302" s="3"/>
      <c r="AO302" s="3"/>
      <c r="AP302" s="3"/>
      <c r="AQ302" s="3"/>
      <c r="AR302" s="6"/>
      <c r="AS302" s="6"/>
      <c r="AT302" s="3"/>
      <c r="AU302" s="3"/>
      <c r="AV302" s="3"/>
      <c r="AW302" s="3"/>
      <c r="BM302" s="3"/>
      <c r="BN302" s="3"/>
    </row>
    <row r="303" spans="1:66" s="4" customFormat="1" ht="71.45" customHeight="1" x14ac:dyDescent="0.25">
      <c r="A303" s="49" t="s">
        <v>500</v>
      </c>
      <c r="B303" s="16" t="s">
        <v>79</v>
      </c>
      <c r="C303" s="17" t="s">
        <v>484</v>
      </c>
      <c r="D303" s="51">
        <v>6907100</v>
      </c>
      <c r="E303" s="51">
        <v>0</v>
      </c>
      <c r="F303" s="84">
        <f t="shared" si="43"/>
        <v>0</v>
      </c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92"/>
      <c r="W303" s="3"/>
      <c r="X303" s="3"/>
      <c r="Y303" s="3"/>
      <c r="Z303" s="3"/>
      <c r="AC303" s="5"/>
      <c r="AD303" s="5"/>
      <c r="AE303" s="5"/>
      <c r="AF303" s="5"/>
      <c r="AG303" s="5"/>
      <c r="AH303" s="5"/>
      <c r="AI303" s="3"/>
      <c r="AJ303" s="3"/>
      <c r="AK303" s="3"/>
      <c r="AL303" s="3"/>
      <c r="AM303" s="3"/>
      <c r="AN303" s="3"/>
      <c r="AO303" s="3"/>
      <c r="AP303" s="3"/>
      <c r="AQ303" s="3"/>
      <c r="AR303" s="6"/>
      <c r="AS303" s="6"/>
      <c r="AT303" s="3"/>
      <c r="AU303" s="3"/>
      <c r="AV303" s="3"/>
      <c r="AW303" s="3"/>
      <c r="BM303" s="3"/>
      <c r="BN303" s="3"/>
    </row>
    <row r="304" spans="1:66" s="4" customFormat="1" ht="26.45" customHeight="1" x14ac:dyDescent="0.25">
      <c r="A304" s="49" t="s">
        <v>513</v>
      </c>
      <c r="B304" s="16" t="s">
        <v>5</v>
      </c>
      <c r="C304" s="17" t="s">
        <v>511</v>
      </c>
      <c r="D304" s="51">
        <v>0</v>
      </c>
      <c r="E304" s="51">
        <v>8442200</v>
      </c>
      <c r="F304" s="84">
        <v>0</v>
      </c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116"/>
      <c r="W304" s="3"/>
      <c r="X304" s="3"/>
      <c r="Y304" s="3"/>
      <c r="Z304" s="3"/>
      <c r="AC304" s="5"/>
      <c r="AD304" s="5"/>
      <c r="AE304" s="5"/>
      <c r="AF304" s="5"/>
      <c r="AG304" s="5"/>
      <c r="AH304" s="5"/>
      <c r="AI304" s="3"/>
      <c r="AJ304" s="3"/>
      <c r="AK304" s="3"/>
      <c r="AL304" s="3"/>
      <c r="AM304" s="3"/>
      <c r="AN304" s="3"/>
      <c r="AO304" s="3"/>
      <c r="AP304" s="3"/>
      <c r="AQ304" s="3"/>
      <c r="AR304" s="6"/>
      <c r="AS304" s="6"/>
      <c r="AT304" s="3"/>
      <c r="AU304" s="3"/>
      <c r="AV304" s="3"/>
      <c r="AW304" s="3"/>
      <c r="BM304" s="3"/>
      <c r="BN304" s="3"/>
    </row>
    <row r="305" spans="1:66" s="4" customFormat="1" ht="96.6" customHeight="1" x14ac:dyDescent="0.25">
      <c r="A305" s="49" t="s">
        <v>561</v>
      </c>
      <c r="B305" s="16" t="s">
        <v>249</v>
      </c>
      <c r="C305" s="17" t="s">
        <v>512</v>
      </c>
      <c r="D305" s="51">
        <v>0</v>
      </c>
      <c r="E305" s="51">
        <v>8442200</v>
      </c>
      <c r="F305" s="84">
        <v>0</v>
      </c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116"/>
      <c r="W305" s="3"/>
      <c r="X305" s="3"/>
      <c r="Y305" s="3"/>
      <c r="Z305" s="3"/>
      <c r="AC305" s="5"/>
      <c r="AD305" s="5"/>
      <c r="AE305" s="5"/>
      <c r="AF305" s="5"/>
      <c r="AG305" s="5"/>
      <c r="AH305" s="5"/>
      <c r="AI305" s="3"/>
      <c r="AJ305" s="3"/>
      <c r="AK305" s="3"/>
      <c r="AL305" s="3"/>
      <c r="AM305" s="3"/>
      <c r="AN305" s="3"/>
      <c r="AO305" s="3"/>
      <c r="AP305" s="3"/>
      <c r="AQ305" s="3"/>
      <c r="AR305" s="6"/>
      <c r="AS305" s="6"/>
      <c r="AT305" s="3"/>
      <c r="AU305" s="3"/>
      <c r="AV305" s="3"/>
      <c r="AW305" s="3"/>
      <c r="BM305" s="3"/>
      <c r="BN305" s="3"/>
    </row>
    <row r="306" spans="1:66" s="4" customFormat="1" ht="46.9" customHeight="1" x14ac:dyDescent="0.25">
      <c r="A306" s="71" t="s">
        <v>357</v>
      </c>
      <c r="B306" s="16" t="s">
        <v>5</v>
      </c>
      <c r="C306" s="72" t="s">
        <v>358</v>
      </c>
      <c r="D306" s="51">
        <f>+D307</f>
        <v>321944.61</v>
      </c>
      <c r="E306" s="51">
        <f t="shared" ref="E306" si="47">+E307</f>
        <v>327119.12</v>
      </c>
      <c r="F306" s="84">
        <f t="shared" si="43"/>
        <v>1.0160726716313095</v>
      </c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92"/>
      <c r="W306" s="3"/>
      <c r="X306" s="3"/>
      <c r="Y306" s="3"/>
      <c r="Z306" s="3"/>
      <c r="AC306" s="5"/>
      <c r="AD306" s="5"/>
      <c r="AE306" s="5"/>
      <c r="AF306" s="5"/>
      <c r="AG306" s="5"/>
      <c r="AH306" s="5"/>
      <c r="AI306" s="3"/>
      <c r="AJ306" s="3"/>
      <c r="AK306" s="3"/>
      <c r="AL306" s="3"/>
      <c r="AM306" s="3"/>
      <c r="AN306" s="3"/>
      <c r="AO306" s="3"/>
      <c r="AP306" s="3"/>
      <c r="AQ306" s="3"/>
      <c r="AR306" s="6"/>
      <c r="AS306" s="6"/>
      <c r="AT306" s="3"/>
      <c r="AU306" s="3"/>
      <c r="AV306" s="3"/>
      <c r="AW306" s="3"/>
      <c r="BM306" s="3"/>
      <c r="BN306" s="3"/>
    </row>
    <row r="307" spans="1:66" s="4" customFormat="1" ht="69" customHeight="1" x14ac:dyDescent="0.25">
      <c r="A307" s="71" t="s">
        <v>359</v>
      </c>
      <c r="B307" s="16" t="s">
        <v>5</v>
      </c>
      <c r="C307" s="72" t="s">
        <v>360</v>
      </c>
      <c r="D307" s="51">
        <f>+D308</f>
        <v>321944.61</v>
      </c>
      <c r="E307" s="51">
        <f t="shared" ref="E307" si="48">+E308</f>
        <v>327119.12</v>
      </c>
      <c r="F307" s="84">
        <f t="shared" si="43"/>
        <v>1.0160726716313095</v>
      </c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92"/>
      <c r="W307" s="3"/>
      <c r="X307" s="3"/>
      <c r="Y307" s="3"/>
      <c r="Z307" s="3"/>
      <c r="AC307" s="5"/>
      <c r="AD307" s="5"/>
      <c r="AE307" s="5"/>
      <c r="AF307" s="5"/>
      <c r="AG307" s="5"/>
      <c r="AH307" s="5"/>
      <c r="AI307" s="3"/>
      <c r="AJ307" s="3"/>
      <c r="AK307" s="3"/>
      <c r="AL307" s="3"/>
      <c r="AM307" s="3"/>
      <c r="AN307" s="3"/>
      <c r="AO307" s="3"/>
      <c r="AP307" s="3"/>
      <c r="AQ307" s="3"/>
      <c r="AR307" s="6"/>
      <c r="AS307" s="6"/>
      <c r="AT307" s="3"/>
      <c r="AU307" s="3"/>
      <c r="AV307" s="3"/>
      <c r="AW307" s="3"/>
      <c r="BM307" s="3"/>
      <c r="BN307" s="3"/>
    </row>
    <row r="308" spans="1:66" s="4" customFormat="1" ht="70.150000000000006" customHeight="1" x14ac:dyDescent="0.25">
      <c r="A308" s="71" t="s">
        <v>361</v>
      </c>
      <c r="B308" s="16" t="s">
        <v>5</v>
      </c>
      <c r="C308" s="72" t="s">
        <v>362</v>
      </c>
      <c r="D308" s="51">
        <f>+D309</f>
        <v>321944.61</v>
      </c>
      <c r="E308" s="51">
        <f t="shared" ref="E308" si="49">+E309</f>
        <v>327119.12</v>
      </c>
      <c r="F308" s="84">
        <f t="shared" si="43"/>
        <v>1.0160726716313095</v>
      </c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92"/>
      <c r="W308" s="3"/>
      <c r="X308" s="3"/>
      <c r="Y308" s="3"/>
      <c r="Z308" s="3"/>
      <c r="AC308" s="5"/>
      <c r="AD308" s="5"/>
      <c r="AE308" s="5"/>
      <c r="AF308" s="5"/>
      <c r="AG308" s="5"/>
      <c r="AH308" s="5"/>
      <c r="AI308" s="3"/>
      <c r="AJ308" s="3"/>
      <c r="AK308" s="3"/>
      <c r="AL308" s="3"/>
      <c r="AM308" s="3"/>
      <c r="AN308" s="3"/>
      <c r="AO308" s="3"/>
      <c r="AP308" s="3"/>
      <c r="AQ308" s="3"/>
      <c r="AR308" s="6"/>
      <c r="AS308" s="6"/>
      <c r="AT308" s="3"/>
      <c r="AU308" s="3"/>
      <c r="AV308" s="3"/>
      <c r="AW308" s="3"/>
      <c r="BM308" s="3"/>
      <c r="BN308" s="3"/>
    </row>
    <row r="309" spans="1:66" s="4" customFormat="1" ht="28.15" customHeight="1" x14ac:dyDescent="0.25">
      <c r="A309" s="71" t="s">
        <v>363</v>
      </c>
      <c r="B309" s="16" t="s">
        <v>5</v>
      </c>
      <c r="C309" s="72" t="s">
        <v>364</v>
      </c>
      <c r="D309" s="51">
        <f>+D310+D311+D312</f>
        <v>321944.61</v>
      </c>
      <c r="E309" s="51">
        <f t="shared" ref="E309" si="50">+E310+E311+E312</f>
        <v>327119.12</v>
      </c>
      <c r="F309" s="84">
        <f t="shared" si="43"/>
        <v>1.0160726716313095</v>
      </c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92"/>
      <c r="W309" s="3"/>
      <c r="X309" s="3"/>
      <c r="Y309" s="3"/>
      <c r="Z309" s="3"/>
      <c r="AC309" s="5"/>
      <c r="AD309" s="5"/>
      <c r="AE309" s="5"/>
      <c r="AF309" s="5"/>
      <c r="AG309" s="5"/>
      <c r="AH309" s="5"/>
      <c r="AI309" s="3"/>
      <c r="AJ309" s="3"/>
      <c r="AK309" s="3"/>
      <c r="AL309" s="3"/>
      <c r="AM309" s="3"/>
      <c r="AN309" s="3"/>
      <c r="AO309" s="3"/>
      <c r="AP309" s="3"/>
      <c r="AQ309" s="3"/>
      <c r="AR309" s="6"/>
      <c r="AS309" s="6"/>
      <c r="AT309" s="3"/>
      <c r="AU309" s="3"/>
      <c r="AV309" s="3"/>
      <c r="AW309" s="3"/>
      <c r="BM309" s="3"/>
      <c r="BN309" s="3"/>
    </row>
    <row r="310" spans="1:66" s="4" customFormat="1" ht="30" customHeight="1" x14ac:dyDescent="0.25">
      <c r="A310" s="77" t="s">
        <v>408</v>
      </c>
      <c r="B310" s="16" t="s">
        <v>256</v>
      </c>
      <c r="C310" s="72" t="s">
        <v>409</v>
      </c>
      <c r="D310" s="51">
        <f>9938+9885.2+61859.3+6411.25</f>
        <v>88093.75</v>
      </c>
      <c r="E310" s="136">
        <v>88093.75</v>
      </c>
      <c r="F310" s="84">
        <f t="shared" si="43"/>
        <v>1</v>
      </c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92"/>
      <c r="W310" s="3"/>
      <c r="X310" s="3"/>
      <c r="Y310" s="3"/>
      <c r="Z310" s="3"/>
      <c r="AC310" s="5"/>
      <c r="AD310" s="5"/>
      <c r="AE310" s="5"/>
      <c r="AF310" s="5"/>
      <c r="AG310" s="5"/>
      <c r="AH310" s="5"/>
      <c r="AI310" s="3"/>
      <c r="AJ310" s="3"/>
      <c r="AK310" s="3"/>
      <c r="AL310" s="3"/>
      <c r="AM310" s="3"/>
      <c r="AN310" s="3"/>
      <c r="AO310" s="3"/>
      <c r="AP310" s="3"/>
      <c r="AQ310" s="3"/>
      <c r="AR310" s="6"/>
      <c r="AS310" s="6"/>
      <c r="AT310" s="3"/>
      <c r="AU310" s="3"/>
      <c r="AV310" s="3"/>
      <c r="AW310" s="3"/>
      <c r="BM310" s="3"/>
      <c r="BN310" s="3"/>
    </row>
    <row r="311" spans="1:66" s="4" customFormat="1" ht="28.9" customHeight="1" x14ac:dyDescent="0.25">
      <c r="A311" s="71" t="s">
        <v>366</v>
      </c>
      <c r="B311" s="16" t="s">
        <v>271</v>
      </c>
      <c r="C311" s="72" t="s">
        <v>365</v>
      </c>
      <c r="D311" s="51">
        <f>60781.97+167772.58</f>
        <v>228554.55</v>
      </c>
      <c r="E311" s="136">
        <v>228554.55</v>
      </c>
      <c r="F311" s="84">
        <f t="shared" si="43"/>
        <v>1</v>
      </c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92"/>
      <c r="W311" s="3"/>
      <c r="X311" s="3"/>
      <c r="Y311" s="3"/>
      <c r="Z311" s="3"/>
      <c r="AC311" s="5"/>
      <c r="AD311" s="5"/>
      <c r="AE311" s="5"/>
      <c r="AF311" s="5"/>
      <c r="AG311" s="5"/>
      <c r="AH311" s="5"/>
      <c r="AI311" s="3"/>
      <c r="AJ311" s="3"/>
      <c r="AK311" s="3"/>
      <c r="AL311" s="3"/>
      <c r="AM311" s="3"/>
      <c r="AN311" s="3"/>
      <c r="AO311" s="3"/>
      <c r="AP311" s="3"/>
      <c r="AQ311" s="3"/>
      <c r="AR311" s="6"/>
      <c r="AS311" s="6"/>
      <c r="AT311" s="3"/>
      <c r="AU311" s="3"/>
      <c r="AV311" s="3"/>
      <c r="AW311" s="3"/>
      <c r="BM311" s="3"/>
      <c r="BN311" s="3"/>
    </row>
    <row r="312" spans="1:66" s="4" customFormat="1" ht="30" customHeight="1" x14ac:dyDescent="0.25">
      <c r="A312" s="71" t="s">
        <v>366</v>
      </c>
      <c r="B312" s="16" t="s">
        <v>212</v>
      </c>
      <c r="C312" s="72" t="s">
        <v>365</v>
      </c>
      <c r="D312" s="51">
        <f>5000+63.63+232.68</f>
        <v>5296.31</v>
      </c>
      <c r="E312" s="136">
        <v>10470.82</v>
      </c>
      <c r="F312" s="84">
        <f t="shared" si="43"/>
        <v>1.977002856705895</v>
      </c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92"/>
      <c r="W312" s="3"/>
      <c r="X312" s="3"/>
      <c r="Y312" s="3"/>
      <c r="Z312" s="3"/>
      <c r="AC312" s="5"/>
      <c r="AD312" s="5"/>
      <c r="AE312" s="5"/>
      <c r="AF312" s="5"/>
      <c r="AG312" s="5"/>
      <c r="AH312" s="5"/>
      <c r="AI312" s="3"/>
      <c r="AJ312" s="3"/>
      <c r="AK312" s="3"/>
      <c r="AL312" s="3"/>
      <c r="AM312" s="3"/>
      <c r="AN312" s="3"/>
      <c r="AO312" s="3"/>
      <c r="AP312" s="3"/>
      <c r="AQ312" s="3"/>
      <c r="AR312" s="6"/>
      <c r="AS312" s="6"/>
      <c r="AT312" s="3"/>
      <c r="AU312" s="3"/>
      <c r="AV312" s="3"/>
      <c r="AW312" s="3"/>
      <c r="BM312" s="3"/>
      <c r="BN312" s="3"/>
    </row>
    <row r="313" spans="1:66" s="4" customFormat="1" ht="31.9" customHeight="1" x14ac:dyDescent="0.25">
      <c r="A313" s="67" t="s">
        <v>367</v>
      </c>
      <c r="B313" s="16" t="s">
        <v>5</v>
      </c>
      <c r="C313" s="73" t="s">
        <v>368</v>
      </c>
      <c r="D313" s="51">
        <f>+D314</f>
        <v>-332827.08</v>
      </c>
      <c r="E313" s="51">
        <f>+E314</f>
        <v>-338001.59</v>
      </c>
      <c r="F313" s="84">
        <f t="shared" si="43"/>
        <v>1.0155471423779581</v>
      </c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92"/>
      <c r="W313" s="3"/>
      <c r="X313" s="3"/>
      <c r="Y313" s="3"/>
      <c r="Z313" s="3"/>
      <c r="AC313" s="5"/>
      <c r="AD313" s="5"/>
      <c r="AE313" s="5"/>
      <c r="AF313" s="5"/>
      <c r="AG313" s="5"/>
      <c r="AH313" s="5"/>
      <c r="AI313" s="3"/>
      <c r="AJ313" s="3"/>
      <c r="AK313" s="3"/>
      <c r="AL313" s="3"/>
      <c r="AM313" s="3"/>
      <c r="AN313" s="3"/>
      <c r="AO313" s="3"/>
      <c r="AP313" s="3"/>
      <c r="AQ313" s="3"/>
      <c r="AR313" s="6"/>
      <c r="AS313" s="6"/>
      <c r="AT313" s="3"/>
      <c r="AU313" s="3"/>
      <c r="AV313" s="3"/>
      <c r="AW313" s="3"/>
      <c r="BM313" s="3"/>
      <c r="BN313" s="3"/>
    </row>
    <row r="314" spans="1:66" s="4" customFormat="1" ht="43.9" customHeight="1" x14ac:dyDescent="0.25">
      <c r="A314" s="67" t="s">
        <v>369</v>
      </c>
      <c r="B314" s="16" t="s">
        <v>5</v>
      </c>
      <c r="C314" s="73" t="s">
        <v>370</v>
      </c>
      <c r="D314" s="51">
        <f>+D315+D316+D317+D318</f>
        <v>-332827.08</v>
      </c>
      <c r="E314" s="51">
        <f>+E315+E316+E317+E318</f>
        <v>-338001.59</v>
      </c>
      <c r="F314" s="84">
        <f t="shared" si="43"/>
        <v>1.0155471423779581</v>
      </c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92"/>
      <c r="W314" s="3"/>
      <c r="X314" s="3"/>
      <c r="Y314" s="3"/>
      <c r="Z314" s="3"/>
      <c r="AC314" s="5"/>
      <c r="AD314" s="5"/>
      <c r="AE314" s="5"/>
      <c r="AF314" s="5"/>
      <c r="AG314" s="5"/>
      <c r="AH314" s="5"/>
      <c r="AI314" s="3"/>
      <c r="AJ314" s="3"/>
      <c r="AK314" s="3"/>
      <c r="AL314" s="3"/>
      <c r="AM314" s="3"/>
      <c r="AN314" s="3"/>
      <c r="AO314" s="3"/>
      <c r="AP314" s="3"/>
      <c r="AQ314" s="3"/>
      <c r="AR314" s="6"/>
      <c r="AS314" s="6"/>
      <c r="AT314" s="3"/>
      <c r="AU314" s="3"/>
      <c r="AV314" s="3"/>
      <c r="AW314" s="3"/>
      <c r="BM314" s="3"/>
      <c r="BN314" s="3"/>
    </row>
    <row r="315" spans="1:66" s="4" customFormat="1" ht="43.15" customHeight="1" x14ac:dyDescent="0.25">
      <c r="A315" s="77" t="s">
        <v>406</v>
      </c>
      <c r="B315" s="16" t="s">
        <v>271</v>
      </c>
      <c r="C315" s="81" t="s">
        <v>407</v>
      </c>
      <c r="D315" s="51">
        <f>-60781.97-167772.58</f>
        <v>-228554.55</v>
      </c>
      <c r="E315" s="136">
        <v>-228554.55</v>
      </c>
      <c r="F315" s="84">
        <f t="shared" si="43"/>
        <v>1</v>
      </c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92"/>
      <c r="W315" s="3"/>
      <c r="X315" s="3"/>
      <c r="Y315" s="3"/>
      <c r="Z315" s="3"/>
      <c r="AC315" s="5"/>
      <c r="AD315" s="5"/>
      <c r="AE315" s="5"/>
      <c r="AF315" s="5"/>
      <c r="AG315" s="5"/>
      <c r="AH315" s="5"/>
      <c r="AI315" s="3"/>
      <c r="AJ315" s="3"/>
      <c r="AK315" s="3"/>
      <c r="AL315" s="3"/>
      <c r="AM315" s="3"/>
      <c r="AN315" s="3"/>
      <c r="AO315" s="3"/>
      <c r="AP315" s="3"/>
      <c r="AQ315" s="3"/>
      <c r="AR315" s="6"/>
      <c r="AS315" s="6"/>
      <c r="AT315" s="3"/>
      <c r="AU315" s="3"/>
      <c r="AV315" s="3"/>
      <c r="AW315" s="3"/>
      <c r="BM315" s="3"/>
      <c r="BN315" s="3"/>
    </row>
    <row r="316" spans="1:66" s="4" customFormat="1" ht="44.45" customHeight="1" x14ac:dyDescent="0.25">
      <c r="A316" s="74" t="s">
        <v>371</v>
      </c>
      <c r="B316" s="16" t="s">
        <v>256</v>
      </c>
      <c r="C316" s="75" t="s">
        <v>372</v>
      </c>
      <c r="D316" s="51">
        <f>-9938-9885.2-61859.3</f>
        <v>-81682.5</v>
      </c>
      <c r="E316" s="136">
        <v>-81682.5</v>
      </c>
      <c r="F316" s="84">
        <f t="shared" si="43"/>
        <v>1</v>
      </c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92"/>
      <c r="W316" s="3"/>
      <c r="X316" s="3"/>
      <c r="Y316" s="3"/>
      <c r="Z316" s="3"/>
      <c r="AC316" s="5"/>
      <c r="AD316" s="5"/>
      <c r="AE316" s="5"/>
      <c r="AF316" s="5"/>
      <c r="AG316" s="5"/>
      <c r="AH316" s="5"/>
      <c r="AI316" s="3"/>
      <c r="AJ316" s="3"/>
      <c r="AK316" s="3"/>
      <c r="AL316" s="3"/>
      <c r="AM316" s="3"/>
      <c r="AN316" s="3"/>
      <c r="AO316" s="3"/>
      <c r="AP316" s="3"/>
      <c r="AQ316" s="3"/>
      <c r="AR316" s="6"/>
      <c r="AS316" s="6"/>
      <c r="AT316" s="3"/>
      <c r="AU316" s="3"/>
      <c r="AV316" s="3"/>
      <c r="AW316" s="3"/>
      <c r="BM316" s="3"/>
      <c r="BN316" s="3"/>
    </row>
    <row r="317" spans="1:66" s="4" customFormat="1" ht="44.45" customHeight="1" x14ac:dyDescent="0.25">
      <c r="A317" s="74" t="s">
        <v>371</v>
      </c>
      <c r="B317" s="16" t="s">
        <v>212</v>
      </c>
      <c r="C317" s="75" t="s">
        <v>372</v>
      </c>
      <c r="D317" s="51">
        <v>-22589.38</v>
      </c>
      <c r="E317" s="136">
        <v>-27763.89</v>
      </c>
      <c r="F317" s="84">
        <f t="shared" si="43"/>
        <v>1.2290682612803006</v>
      </c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92"/>
      <c r="W317" s="3"/>
      <c r="X317" s="3"/>
      <c r="Y317" s="3"/>
      <c r="Z317" s="3"/>
      <c r="AC317" s="5"/>
      <c r="AD317" s="5"/>
      <c r="AE317" s="5"/>
      <c r="AF317" s="5"/>
      <c r="AG317" s="5"/>
      <c r="AH317" s="5"/>
      <c r="AI317" s="3"/>
      <c r="AJ317" s="3"/>
      <c r="AK317" s="3"/>
      <c r="AL317" s="3"/>
      <c r="AM317" s="3"/>
      <c r="AN317" s="3"/>
      <c r="AO317" s="3"/>
      <c r="AP317" s="3"/>
      <c r="AQ317" s="3"/>
      <c r="AR317" s="6"/>
      <c r="AS317" s="6"/>
      <c r="AT317" s="3"/>
      <c r="AU317" s="3"/>
      <c r="AV317" s="3"/>
      <c r="AW317" s="3"/>
      <c r="BM317" s="3"/>
      <c r="BN317" s="3"/>
    </row>
    <row r="318" spans="1:66" s="4" customFormat="1" ht="42" customHeight="1" x14ac:dyDescent="0.25">
      <c r="A318" s="74" t="s">
        <v>371</v>
      </c>
      <c r="B318" s="16" t="s">
        <v>79</v>
      </c>
      <c r="C318" s="75" t="s">
        <v>372</v>
      </c>
      <c r="D318" s="51">
        <v>-0.65</v>
      </c>
      <c r="E318" s="136">
        <v>-0.65</v>
      </c>
      <c r="F318" s="84">
        <f t="shared" si="43"/>
        <v>1</v>
      </c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92"/>
      <c r="W318" s="3"/>
      <c r="X318" s="3"/>
      <c r="Y318" s="3"/>
      <c r="Z318" s="3"/>
      <c r="AC318" s="5"/>
      <c r="AD318" s="5"/>
      <c r="AE318" s="5"/>
      <c r="AF318" s="5"/>
      <c r="AG318" s="5"/>
      <c r="AH318" s="5"/>
      <c r="AI318" s="3"/>
      <c r="AJ318" s="3"/>
      <c r="AK318" s="3"/>
      <c r="AL318" s="3"/>
      <c r="AM318" s="3"/>
      <c r="AN318" s="3"/>
      <c r="AO318" s="3"/>
      <c r="AP318" s="3"/>
      <c r="AQ318" s="3"/>
      <c r="AR318" s="6"/>
      <c r="AS318" s="6"/>
      <c r="AT318" s="3"/>
      <c r="AU318" s="3"/>
      <c r="AV318" s="3"/>
      <c r="AW318" s="3"/>
      <c r="BM318" s="3"/>
      <c r="BN318" s="3"/>
    </row>
    <row r="319" spans="1:66" s="6" customFormat="1" ht="18" customHeight="1" x14ac:dyDescent="0.25">
      <c r="A319" s="49" t="s">
        <v>288</v>
      </c>
      <c r="B319" s="16"/>
      <c r="C319" s="17"/>
      <c r="D319" s="50">
        <f>+D8+D230</f>
        <v>4480565812.5200005</v>
      </c>
      <c r="E319" s="50">
        <f>+E8+E230</f>
        <v>3028273412.0100002</v>
      </c>
      <c r="F319" s="84">
        <f t="shared" si="43"/>
        <v>0.67586852614643578</v>
      </c>
      <c r="V319" s="42"/>
      <c r="AC319" s="5"/>
      <c r="AD319" s="43"/>
      <c r="AE319" s="5"/>
      <c r="AF319" s="5"/>
      <c r="AG319" s="5"/>
      <c r="AH319" s="5"/>
    </row>
    <row r="320" spans="1:66" s="45" customFormat="1" x14ac:dyDescent="0.25">
      <c r="A320" s="97"/>
      <c r="B320" s="99"/>
      <c r="C320" s="99"/>
      <c r="D320" s="98"/>
      <c r="E320" s="98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  <c r="AI320" s="44"/>
      <c r="AJ320" s="44"/>
      <c r="AK320" s="44"/>
      <c r="AL320" s="44"/>
      <c r="AM320" s="44"/>
      <c r="AN320" s="44"/>
      <c r="AO320" s="44"/>
      <c r="AP320" s="44"/>
      <c r="AQ320" s="44"/>
      <c r="AR320" s="44"/>
      <c r="AS320" s="44"/>
      <c r="AT320" s="44"/>
      <c r="AU320" s="44"/>
      <c r="AV320" s="44"/>
      <c r="AW320" s="44"/>
      <c r="BM320" s="44"/>
      <c r="BN320" s="44"/>
    </row>
    <row r="321" spans="1:11" x14ac:dyDescent="0.25">
      <c r="A321" s="100"/>
      <c r="B321" s="42"/>
      <c r="C321" s="42"/>
      <c r="D321" s="101"/>
      <c r="E321" s="109"/>
    </row>
    <row r="322" spans="1:11" ht="18.75" x14ac:dyDescent="0.3">
      <c r="A322" s="102"/>
      <c r="B322" s="42"/>
      <c r="C322" s="42"/>
      <c r="D322" s="145"/>
      <c r="E322" s="145"/>
      <c r="J322" s="145"/>
      <c r="K322" s="145"/>
    </row>
    <row r="323" spans="1:11" ht="25.15" customHeight="1" x14ac:dyDescent="0.3">
      <c r="A323" s="146" t="s">
        <v>419</v>
      </c>
      <c r="B323" s="146"/>
      <c r="C323" s="103"/>
      <c r="D323" s="147" t="s">
        <v>420</v>
      </c>
      <c r="E323" s="147"/>
      <c r="F323" s="147"/>
    </row>
    <row r="324" spans="1:11" ht="18.75" x14ac:dyDescent="0.3">
      <c r="A324" s="104"/>
      <c r="B324" s="133"/>
      <c r="C324" s="103"/>
      <c r="D324" s="105"/>
      <c r="E324" s="110"/>
    </row>
    <row r="325" spans="1:11" ht="18.75" x14ac:dyDescent="0.3">
      <c r="A325" s="106"/>
      <c r="B325" s="134"/>
      <c r="C325" s="107"/>
      <c r="D325" s="105"/>
      <c r="E325" s="110"/>
      <c r="J325" s="145"/>
      <c r="K325" s="145"/>
    </row>
    <row r="326" spans="1:11" ht="18.75" x14ac:dyDescent="0.3">
      <c r="A326" s="140"/>
      <c r="B326" s="140"/>
      <c r="C326" s="107"/>
      <c r="D326" s="148"/>
      <c r="E326" s="148"/>
      <c r="F326" s="148"/>
    </row>
    <row r="327" spans="1:11" x14ac:dyDescent="0.25">
      <c r="A327" s="100"/>
      <c r="B327" s="42"/>
      <c r="C327" s="42"/>
      <c r="D327" s="6"/>
      <c r="E327" s="44"/>
    </row>
  </sheetData>
  <mergeCells count="25">
    <mergeCell ref="L100:L106"/>
    <mergeCell ref="AM100:AM104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326:B326"/>
    <mergeCell ref="AR100:AR106"/>
    <mergeCell ref="AY281:BD281"/>
    <mergeCell ref="AZ282:BE282"/>
    <mergeCell ref="AY290:BD290"/>
    <mergeCell ref="D322:E322"/>
    <mergeCell ref="J322:K322"/>
    <mergeCell ref="A323:B323"/>
    <mergeCell ref="J325:K325"/>
    <mergeCell ref="D323:F323"/>
    <mergeCell ref="D326:F326"/>
    <mergeCell ref="T8:V8"/>
    <mergeCell ref="T10:V10"/>
    <mergeCell ref="AM19:AM27"/>
  </mergeCells>
  <pageMargins left="1.1811023622047245" right="0.39370078740157483" top="0.59055118110236227" bottom="0.78740157480314965" header="0" footer="0"/>
  <pageSetup paperSize="9" scale="63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 на 2023(9мес)</vt:lpstr>
      <vt:lpstr>'Прил 1 на 2023(9мес)'!Заголовки_для_печати</vt:lpstr>
      <vt:lpstr>'Прил 1 на 2023(9мес)'!Область_печати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2023-10-26T05:34:36Z</dcterms:modified>
</cp:coreProperties>
</file>