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48" windowWidth="14808" windowHeight="7776"/>
  </bookViews>
  <sheets>
    <sheet name="Прил 1 на 2023(июнь)" sheetId="3" r:id="rId1"/>
  </sheets>
  <definedNames>
    <definedName name="_xlnm._FilterDatabase" localSheetId="0" hidden="1">'Прил 1 на 2023(июнь)'!$A$8:$F$269</definedName>
    <definedName name="_xlnm.Print_Titles" localSheetId="0">'Прил 1 на 2023(июнь)'!$5:$7</definedName>
    <definedName name="_xlnm.Print_Area" localSheetId="0">'Прил 1 на 2023(июнь)'!$A$1:$BM$277</definedName>
  </definedNames>
  <calcPr calcId="152511" iterate="1"/>
</workbook>
</file>

<file path=xl/calcChain.xml><?xml version="1.0" encoding="utf-8"?>
<calcChain xmlns="http://schemas.openxmlformats.org/spreadsheetml/2006/main">
  <c r="D187" i="3" l="1"/>
  <c r="F101" i="3"/>
  <c r="E101" i="3"/>
  <c r="D101" i="3"/>
  <c r="F264" i="3" l="1"/>
  <c r="E264" i="3"/>
  <c r="D267" i="3"/>
  <c r="D262" i="3"/>
  <c r="D260" i="3"/>
  <c r="D266" i="3"/>
  <c r="D70" i="3" l="1"/>
  <c r="F147" i="3"/>
  <c r="E147" i="3"/>
  <c r="D147" i="3"/>
  <c r="F66" i="3"/>
  <c r="E66" i="3"/>
  <c r="D66" i="3"/>
  <c r="F64" i="3"/>
  <c r="F63" i="3" s="1"/>
  <c r="E64" i="3"/>
  <c r="D64" i="3"/>
  <c r="D63" i="3" s="1"/>
  <c r="E63" i="3" l="1"/>
  <c r="D116" i="3"/>
  <c r="D56" i="3"/>
  <c r="D17" i="3" l="1"/>
  <c r="D12" i="3"/>
  <c r="D16" i="3"/>
  <c r="D107" i="3"/>
  <c r="F155" i="3"/>
  <c r="E155" i="3"/>
  <c r="D155" i="3"/>
  <c r="D159" i="3"/>
  <c r="D158" i="3" s="1"/>
  <c r="E159" i="3"/>
  <c r="E158" i="3" s="1"/>
  <c r="F159" i="3"/>
  <c r="F158" i="3" s="1"/>
  <c r="D154" i="3" l="1"/>
  <c r="E154" i="3"/>
  <c r="F154" i="3"/>
  <c r="F254" i="3" l="1"/>
  <c r="E254" i="3"/>
  <c r="D254" i="3"/>
  <c r="F192" i="3"/>
  <c r="E192" i="3"/>
  <c r="D192" i="3"/>
  <c r="F190" i="3"/>
  <c r="E190" i="3"/>
  <c r="D190" i="3"/>
  <c r="F188" i="3"/>
  <c r="E188" i="3"/>
  <c r="D188" i="3"/>
  <c r="F259" i="3" l="1"/>
  <c r="F258" i="3" s="1"/>
  <c r="F257" i="3" s="1"/>
  <c r="F256" i="3" s="1"/>
  <c r="E259" i="3"/>
  <c r="E258" i="3" s="1"/>
  <c r="E257" i="3" s="1"/>
  <c r="E256" i="3" s="1"/>
  <c r="F263" i="3"/>
  <c r="E263" i="3"/>
  <c r="D261" i="3"/>
  <c r="D265" i="3"/>
  <c r="D264" i="3" s="1"/>
  <c r="D263" i="3" s="1"/>
  <c r="D259" i="3" l="1"/>
  <c r="D258" i="3" s="1"/>
  <c r="D257" i="3" s="1"/>
  <c r="D256" i="3" s="1"/>
  <c r="F250" i="3"/>
  <c r="E250" i="3"/>
  <c r="D250" i="3"/>
  <c r="F252" i="3"/>
  <c r="D252" i="3"/>
  <c r="E252" i="3"/>
  <c r="D249" i="3" l="1"/>
  <c r="F249" i="3"/>
  <c r="E249" i="3"/>
  <c r="F198" i="3"/>
  <c r="E198" i="3"/>
  <c r="D198" i="3"/>
  <c r="F204" i="3"/>
  <c r="E204" i="3"/>
  <c r="D204" i="3"/>
  <c r="F202" i="3"/>
  <c r="E202" i="3"/>
  <c r="D202" i="3"/>
  <c r="D197" i="3"/>
  <c r="E201" i="3"/>
  <c r="D201" i="3"/>
  <c r="F185" i="3" l="1"/>
  <c r="E185" i="3"/>
  <c r="D185" i="3"/>
  <c r="D108" i="3" l="1"/>
  <c r="F10" i="3"/>
  <c r="E10" i="3"/>
  <c r="D10" i="3"/>
  <c r="D100" i="3" l="1"/>
  <c r="F170" i="3"/>
  <c r="F169" i="3" s="1"/>
  <c r="E170" i="3"/>
  <c r="E169" i="3" s="1"/>
  <c r="D173" i="3"/>
  <c r="D170" i="3" s="1"/>
  <c r="D169" i="3" s="1"/>
  <c r="F31" i="3" l="1"/>
  <c r="E31" i="3"/>
  <c r="F33" i="3"/>
  <c r="E33" i="3"/>
  <c r="F242" i="3" l="1"/>
  <c r="E242" i="3"/>
  <c r="D242" i="3"/>
  <c r="F232" i="3"/>
  <c r="E232" i="3"/>
  <c r="D232" i="3"/>
  <c r="F234" i="3"/>
  <c r="E234" i="3"/>
  <c r="D234" i="3"/>
  <c r="F206" i="3"/>
  <c r="E206" i="3"/>
  <c r="D206" i="3"/>
  <c r="F215" i="3" l="1"/>
  <c r="E215" i="3"/>
  <c r="D215" i="3"/>
  <c r="F214" i="3"/>
  <c r="E214" i="3"/>
  <c r="D214" i="3"/>
  <c r="D213" i="3"/>
  <c r="E210" i="3"/>
  <c r="D210" i="3"/>
  <c r="F195" i="3"/>
  <c r="E195" i="3"/>
  <c r="D195" i="3"/>
  <c r="E209" i="3" l="1"/>
  <c r="F209" i="3"/>
  <c r="F145" i="3"/>
  <c r="E145" i="3"/>
  <c r="D145" i="3"/>
  <c r="F163" i="3"/>
  <c r="E163" i="3"/>
  <c r="D163" i="3"/>
  <c r="F76" i="3"/>
  <c r="E76" i="3"/>
  <c r="D76" i="3"/>
  <c r="F152" i="3"/>
  <c r="E152" i="3"/>
  <c r="D152" i="3"/>
  <c r="F151" i="3"/>
  <c r="E151" i="3"/>
  <c r="E150" i="3" s="1"/>
  <c r="D151" i="3"/>
  <c r="D98" i="3"/>
  <c r="F84" i="3"/>
  <c r="E84" i="3"/>
  <c r="D84" i="3"/>
  <c r="F82" i="3"/>
  <c r="E82" i="3"/>
  <c r="D82" i="3"/>
  <c r="F80" i="3"/>
  <c r="E80" i="3"/>
  <c r="D80" i="3"/>
  <c r="F62" i="3"/>
  <c r="E62" i="3"/>
  <c r="D62" i="3"/>
  <c r="F59" i="3"/>
  <c r="E59" i="3"/>
  <c r="D59" i="3"/>
  <c r="F56" i="3"/>
  <c r="E56" i="3"/>
  <c r="D51" i="3"/>
  <c r="D150" i="3" l="1"/>
  <c r="F150" i="3"/>
  <c r="D33" i="3"/>
  <c r="D31" i="3"/>
  <c r="F27" i="3" l="1"/>
  <c r="E27" i="3"/>
  <c r="F25" i="3"/>
  <c r="E25" i="3"/>
  <c r="F23" i="3"/>
  <c r="E23" i="3"/>
  <c r="F21" i="3"/>
  <c r="E21" i="3"/>
  <c r="D27" i="3"/>
  <c r="D25" i="3"/>
  <c r="D23" i="3"/>
  <c r="D21" i="3"/>
  <c r="D146" i="3" l="1"/>
  <c r="D32" i="3"/>
  <c r="D30" i="3"/>
  <c r="F183" i="3" l="1"/>
  <c r="F182" i="3" s="1"/>
  <c r="E183" i="3"/>
  <c r="E182" i="3" s="1"/>
  <c r="D183" i="3"/>
  <c r="D182" i="3" s="1"/>
  <c r="F146" i="3"/>
  <c r="E146" i="3"/>
  <c r="D134" i="3"/>
  <c r="E134" i="3"/>
  <c r="F134" i="3"/>
  <c r="F89" i="3"/>
  <c r="E89" i="3"/>
  <c r="D89" i="3"/>
  <c r="D86" i="3" s="1"/>
  <c r="F34" i="3" l="1"/>
  <c r="E34" i="3"/>
  <c r="D34" i="3"/>
  <c r="D241" i="3" l="1"/>
  <c r="D238" i="3"/>
  <c r="D235" i="3"/>
  <c r="D231" i="3" l="1"/>
  <c r="D230" i="3" s="1"/>
  <c r="D224" i="3"/>
  <c r="D209" i="3" s="1"/>
  <c r="F127" i="3" l="1"/>
  <c r="E127" i="3"/>
  <c r="D127" i="3"/>
  <c r="F124" i="3"/>
  <c r="E124" i="3"/>
  <c r="D124" i="3"/>
  <c r="F121" i="3"/>
  <c r="E121" i="3"/>
  <c r="D121" i="3"/>
  <c r="F246" i="3" l="1"/>
  <c r="F245" i="3" s="1"/>
  <c r="E246" i="3"/>
  <c r="D246" i="3"/>
  <c r="D245" i="3" s="1"/>
  <c r="E245" i="3"/>
  <c r="F243" i="3"/>
  <c r="E243" i="3"/>
  <c r="D243" i="3"/>
  <c r="F231" i="3"/>
  <c r="F230" i="3" s="1"/>
  <c r="E231" i="3"/>
  <c r="E230" i="3" s="1"/>
  <c r="F208" i="3"/>
  <c r="E208" i="3"/>
  <c r="D208" i="3"/>
  <c r="F200" i="3"/>
  <c r="E200" i="3"/>
  <c r="D200" i="3"/>
  <c r="F196" i="3"/>
  <c r="D196" i="3"/>
  <c r="E196" i="3"/>
  <c r="F194" i="3"/>
  <c r="E194" i="3"/>
  <c r="D194" i="3"/>
  <c r="F167" i="3"/>
  <c r="F166" i="3" s="1"/>
  <c r="F165" i="3" s="1"/>
  <c r="E167" i="3"/>
  <c r="E166" i="3" s="1"/>
  <c r="E165" i="3" s="1"/>
  <c r="D167" i="3"/>
  <c r="D166" i="3" s="1"/>
  <c r="D165" i="3" s="1"/>
  <c r="F162" i="3"/>
  <c r="F161" i="3" s="1"/>
  <c r="E162" i="3"/>
  <c r="E161" i="3" s="1"/>
  <c r="D162" i="3"/>
  <c r="D161" i="3" s="1"/>
  <c r="F144" i="3"/>
  <c r="E144" i="3"/>
  <c r="D144" i="3"/>
  <c r="F141" i="3"/>
  <c r="E141" i="3"/>
  <c r="D141" i="3"/>
  <c r="F138" i="3"/>
  <c r="E138" i="3"/>
  <c r="D138" i="3"/>
  <c r="F136" i="3"/>
  <c r="E136" i="3"/>
  <c r="D136" i="3"/>
  <c r="F132" i="3"/>
  <c r="E132" i="3"/>
  <c r="D132" i="3"/>
  <c r="F130" i="3"/>
  <c r="E130" i="3"/>
  <c r="D130" i="3"/>
  <c r="F117" i="3"/>
  <c r="E117" i="3"/>
  <c r="D117" i="3"/>
  <c r="F115" i="3"/>
  <c r="E115" i="3"/>
  <c r="D115" i="3"/>
  <c r="F112" i="3"/>
  <c r="F111" i="3" s="1"/>
  <c r="E112" i="3"/>
  <c r="E111" i="3" s="1"/>
  <c r="D112" i="3"/>
  <c r="D111" i="3" s="1"/>
  <c r="E100" i="3"/>
  <c r="E99" i="3" s="1"/>
  <c r="F100" i="3"/>
  <c r="F99" i="3" s="1"/>
  <c r="D99" i="3"/>
  <c r="F97" i="3"/>
  <c r="F96" i="3" s="1"/>
  <c r="F95" i="3" s="1"/>
  <c r="E97" i="3"/>
  <c r="E96" i="3" s="1"/>
  <c r="E95" i="3" s="1"/>
  <c r="D97" i="3"/>
  <c r="D96" i="3" s="1"/>
  <c r="D95" i="3" s="1"/>
  <c r="F92" i="3"/>
  <c r="F91" i="3" s="1"/>
  <c r="E92" i="3"/>
  <c r="D92" i="3"/>
  <c r="D91" i="3" s="1"/>
  <c r="D85" i="3" s="1"/>
  <c r="E91" i="3"/>
  <c r="F86" i="3"/>
  <c r="E86" i="3"/>
  <c r="E85" i="3" s="1"/>
  <c r="F83" i="3"/>
  <c r="E83" i="3"/>
  <c r="D83" i="3"/>
  <c r="F81" i="3"/>
  <c r="E81" i="3"/>
  <c r="D81" i="3"/>
  <c r="F79" i="3"/>
  <c r="E79" i="3"/>
  <c r="D79" i="3"/>
  <c r="F74" i="3"/>
  <c r="F73" i="3" s="1"/>
  <c r="F72" i="3" s="1"/>
  <c r="E74" i="3"/>
  <c r="E73" i="3" s="1"/>
  <c r="E72" i="3" s="1"/>
  <c r="D74" i="3"/>
  <c r="D73" i="3" s="1"/>
  <c r="D72" i="3" s="1"/>
  <c r="F69" i="3"/>
  <c r="F68" i="3" s="1"/>
  <c r="E69" i="3"/>
  <c r="E68" i="3" s="1"/>
  <c r="D69" i="3"/>
  <c r="D68" i="3" s="1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5" i="3"/>
  <c r="F54" i="3" s="1"/>
  <c r="E55" i="3"/>
  <c r="E54" i="3" s="1"/>
  <c r="D55" i="3"/>
  <c r="D54" i="3" s="1"/>
  <c r="F50" i="3"/>
  <c r="F49" i="3" s="1"/>
  <c r="E50" i="3"/>
  <c r="E49" i="3" s="1"/>
  <c r="D50" i="3"/>
  <c r="D49" i="3" s="1"/>
  <c r="F47" i="3"/>
  <c r="E47" i="3"/>
  <c r="D47" i="3"/>
  <c r="F44" i="3"/>
  <c r="E44" i="3"/>
  <c r="D44" i="3"/>
  <c r="F42" i="3"/>
  <c r="E42" i="3"/>
  <c r="D42" i="3"/>
  <c r="F39" i="3"/>
  <c r="E39" i="3"/>
  <c r="D39" i="3"/>
  <c r="F36" i="3"/>
  <c r="E36" i="3"/>
  <c r="D36" i="3"/>
  <c r="F32" i="3"/>
  <c r="E32" i="3"/>
  <c r="F30" i="3"/>
  <c r="E30" i="3"/>
  <c r="F26" i="3"/>
  <c r="E26" i="3"/>
  <c r="D26" i="3"/>
  <c r="F24" i="3"/>
  <c r="E24" i="3"/>
  <c r="D24" i="3"/>
  <c r="F22" i="3"/>
  <c r="E22" i="3"/>
  <c r="D22" i="3"/>
  <c r="D20" i="3"/>
  <c r="F20" i="3"/>
  <c r="E20" i="3"/>
  <c r="F9" i="3"/>
  <c r="E9" i="3"/>
  <c r="D9" i="3"/>
  <c r="E187" i="3" l="1"/>
  <c r="F187" i="3"/>
  <c r="D120" i="3"/>
  <c r="D119" i="3" s="1"/>
  <c r="D94" i="3"/>
  <c r="D41" i="3"/>
  <c r="D78" i="3"/>
  <c r="D77" i="3" s="1"/>
  <c r="D71" i="3" s="1"/>
  <c r="D114" i="3"/>
  <c r="D229" i="3"/>
  <c r="D38" i="3"/>
  <c r="D53" i="3"/>
  <c r="D52" i="3" s="1"/>
  <c r="D110" i="3"/>
  <c r="D19" i="3"/>
  <c r="D18" i="3" s="1"/>
  <c r="F229" i="3"/>
  <c r="E229" i="3"/>
  <c r="E120" i="3"/>
  <c r="F120" i="3"/>
  <c r="F119" i="3" s="1"/>
  <c r="F19" i="3"/>
  <c r="F18" i="3" s="1"/>
  <c r="F85" i="3"/>
  <c r="E19" i="3"/>
  <c r="E18" i="3" s="1"/>
  <c r="F53" i="3"/>
  <c r="E53" i="3"/>
  <c r="E114" i="3"/>
  <c r="E110" i="3" s="1"/>
  <c r="F29" i="3"/>
  <c r="F28" i="3" s="1"/>
  <c r="E41" i="3"/>
  <c r="E38" i="3" s="1"/>
  <c r="E78" i="3"/>
  <c r="E77" i="3" s="1"/>
  <c r="E71" i="3" s="1"/>
  <c r="F114" i="3"/>
  <c r="F110" i="3" s="1"/>
  <c r="D29" i="3"/>
  <c r="D28" i="3" s="1"/>
  <c r="D46" i="3"/>
  <c r="F46" i="3"/>
  <c r="E46" i="3"/>
  <c r="E94" i="3"/>
  <c r="F78" i="3"/>
  <c r="F77" i="3" s="1"/>
  <c r="F71" i="3" s="1"/>
  <c r="F41" i="3"/>
  <c r="F38" i="3" s="1"/>
  <c r="E29" i="3"/>
  <c r="E28" i="3" s="1"/>
  <c r="F94" i="3"/>
  <c r="E52" i="3" l="1"/>
  <c r="F52" i="3"/>
  <c r="F181" i="3"/>
  <c r="D181" i="3"/>
  <c r="D180" i="3" s="1"/>
  <c r="E181" i="3"/>
  <c r="E180" i="3" s="1"/>
  <c r="D8" i="3"/>
  <c r="F180" i="3"/>
  <c r="F8" i="3"/>
  <c r="E119" i="3"/>
  <c r="D269" i="3" l="1"/>
  <c r="E8" i="3"/>
  <c r="E269" i="3" s="1"/>
  <c r="F269" i="3"/>
</calcChain>
</file>

<file path=xl/sharedStrings.xml><?xml version="1.0" encoding="utf-8"?>
<sst xmlns="http://schemas.openxmlformats.org/spreadsheetml/2006/main" count="797" uniqueCount="484">
  <si>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</si>
  <si>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</si>
  <si>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</si>
  <si>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</si>
  <si>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</si>
  <si>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</si>
  <si>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</si>
  <si>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</si>
  <si>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</si>
  <si>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</si>
  <si>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</si>
  <si>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</si>
  <si>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</si>
  <si>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</si>
  <si>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</si>
  <si>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</si>
  <si>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</si>
  <si>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</si>
  <si>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</si>
  <si>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</si>
  <si>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</si>
  <si>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</si>
  <si>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</si>
  <si>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</si>
  <si>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</si>
  <si>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</si>
  <si>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</si>
  <si>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</si>
  <si>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</si>
  <si>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</si>
  <si>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</si>
  <si>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</si>
  <si>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</si>
  <si>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</si>
  <si>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</si>
  <si>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</si>
  <si>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</si>
  <si>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</si>
  <si>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</si>
  <si>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</si>
  <si>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</si>
  <si>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</si>
  <si>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</si>
  <si>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</si>
  <si>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</si>
  <si>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</si>
  <si>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</si>
  <si>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</si>
  <si>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</si>
  <si>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</si>
  <si>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</si>
  <si>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</si>
  <si>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</si>
  <si>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</si>
  <si>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</si>
  <si>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</si>
  <si>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</si>
  <si>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</si>
  <si>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</si>
  <si>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</si>
  <si>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</si>
  <si>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</si>
  <si>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</si>
  <si>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</si>
  <si>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</si>
  <si>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</si>
  <si>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</si>
  <si>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</si>
  <si>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</si>
  <si>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</si>
  <si>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</si>
  <si>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</si>
  <si>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</si>
  <si>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</si>
  <si>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</si>
  <si>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</si>
  <si>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</si>
  <si>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</si>
  <si>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</si>
  <si>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</si>
  <si>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</si>
  <si>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</si>
  <si>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</si>
  <si>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</si>
  <si>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</si>
  <si>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</si>
  <si>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</si>
  <si>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</si>
  <si>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</si>
  <si>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</si>
  <si>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</si>
  <si>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</si>
  <si>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</si>
  <si>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</si>
  <si>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</si>
  <si>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</si>
  <si>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</si>
  <si>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</si>
  <si>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</si>
  <si>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</si>
  <si>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</si>
  <si>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</si>
  <si>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</si>
  <si>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</si>
  <si>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</si>
  <si>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</si>
  <si>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</si>
  <si>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</si>
  <si>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</si>
  <si>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</si>
  <si>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</si>
  <si>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</si>
  <si>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</si>
  <si>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</si>
  <si>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</si>
  <si>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</si>
  <si>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</si>
  <si>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</si>
  <si>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</si>
  <si>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</si>
  <si>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</si>
  <si>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</si>
  <si>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</si>
  <si>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</si>
  <si>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</si>
  <si>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</si>
  <si>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</si>
  <si>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</si>
  <si>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</si>
  <si>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</si>
  <si>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</si>
  <si>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</si>
  <si>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</si>
  <si>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</si>
  <si>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</si>
  <si>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</si>
  <si>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</si>
  <si>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</si>
  <si>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</si>
  <si>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</si>
  <si>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</si>
  <si>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</si>
  <si>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</si>
  <si>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</si>
  <si>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</si>
  <si>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</si>
  <si>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</si>
  <si>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</si>
  <si>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</si>
  <si>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</si>
  <si>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</si>
  <si>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</si>
  <si>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</si>
  <si>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</si>
  <si>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</si>
  <si>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</si>
  <si>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</si>
  <si>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</si>
  <si>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</si>
  <si>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</si>
  <si>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</si>
  <si>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</si>
  <si>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</si>
  <si>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</si>
  <si>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</si>
  <si>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</si>
  <si>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</si>
  <si>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</si>
  <si>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</si>
  <si>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</si>
  <si>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</si>
  <si>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</si>
  <si>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</si>
  <si>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</si>
  <si>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</si>
  <si>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</si>
  <si>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</si>
  <si>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</si>
  <si>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</si>
  <si>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</si>
  <si>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</si>
  <si>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</si>
  <si>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</si>
  <si>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</si>
  <si>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</si>
  <si>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</si>
  <si>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</si>
  <si>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</si>
  <si>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</si>
  <si>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</si>
  <si>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</si>
  <si>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</si>
  <si>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</si>
  <si>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</si>
  <si>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</si>
  <si>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</si>
  <si>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</si>
  <si>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</si>
  <si>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</si>
  <si>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</si>
  <si>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</si>
  <si>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</si>
  <si>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</si>
  <si>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</si>
  <si>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</si>
  <si>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</si>
  <si>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</si>
  <si>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</si>
  <si>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</si>
  <si>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</si>
  <si>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</si>
  <si>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</si>
  <si>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</si>
  <si>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</si>
  <si>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</si>
  <si>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</si>
  <si>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</si>
  <si>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</si>
  <si>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</si>
  <si>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</si>
  <si>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</si>
  <si>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</si>
  <si>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</si>
  <si>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</si>
  <si>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</si>
  <si>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</si>
  <si>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</si>
  <si>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</si>
  <si>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</si>
  <si>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</si>
  <si>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</si>
  <si>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</si>
  <si>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</si>
  <si>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</si>
  <si>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</si>
  <si>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</si>
  <si>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</si>
  <si>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</si>
  <si>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</si>
  <si>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</si>
  <si>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</si>
  <si>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</si>
  <si>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</si>
  <si>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</si>
  <si>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</si>
  <si>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</si>
  <si>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</si>
  <si>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</si>
  <si>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</si>
  <si>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</si>
  <si>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</si>
  <si>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</si>
  <si>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</si>
  <si>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</si>
  <si>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</si>
  <si>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</si>
  <si>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</si>
  <si>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</si>
  <si>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</si>
  <si>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</si>
  <si>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</si>
  <si>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</si>
  <si>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</si>
  <si>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</si>
  <si>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</si>
  <si>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</si>
  <si>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</si>
  <si>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</si>
  <si>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</si>
  <si>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</si>
  <si>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</si>
  <si>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</si>
  <si>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</si>
  <si>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</si>
  <si>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</si>
  <si>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</si>
  <si>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</si>
  <si>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</si>
  <si>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</si>
  <si>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</si>
  <si>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</si>
  <si>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</si>
  <si>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</si>
  <si>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</si>
  <si>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</si>
  <si>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</si>
  <si>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</si>
  <si>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</si>
  <si>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</si>
  <si>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</si>
  <si>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</si>
  <si>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</si>
  <si>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</si>
  <si>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</si>
  <si>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</si>
  <si>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</si>
  <si>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</si>
  <si>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</si>
  <si>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</si>
  <si>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</si>
  <si>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</si>
  <si>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</si>
  <si>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</si>
  <si>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</si>
  <si>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</si>
  <si>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</si>
  <si>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</si>
  <si>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</si>
  <si>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</si>
  <si>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</si>
  <si>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</si>
  <si>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</si>
  <si>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</si>
  <si>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</si>
  <si>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</si>
  <si>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</si>
  <si>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</si>
  <si>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</si>
  <si>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</si>
  <si>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</si>
  <si>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</si>
  <si>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</si>
  <si>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</si>
  <si>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</si>
  <si>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</si>
  <si>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</si>
  <si>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</si>
  <si>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</si>
  <si>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</si>
  <si>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</si>
  <si>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</si>
  <si>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</si>
  <si>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</si>
  <si>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</si>
  <si>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</si>
  <si>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</si>
  <si>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</si>
  <si>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</si>
  <si>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</si>
  <si>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</si>
  <si>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</si>
  <si>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</si>
  <si>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</si>
  <si>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</si>
  <si>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</si>
  <si>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</si>
  <si>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</si>
  <si>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</si>
  <si>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</si>
  <si>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</si>
  <si>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</si>
  <si>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</si>
  <si>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</si>
  <si>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</si>
  <si>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</si>
  <si>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</si>
  <si>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</si>
  <si>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</si>
  <si>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</si>
  <si>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</si>
  <si>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</si>
  <si>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</si>
  <si>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</si>
  <si>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</si>
  <si>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</si>
  <si>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</si>
  <si>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</si>
  <si>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</si>
  <si>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</si>
  <si>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</si>
  <si>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</si>
  <si>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</si>
  <si>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</si>
  <si>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</si>
  <si>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</si>
  <si>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</si>
  <si>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</si>
  <si>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</si>
  <si>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</si>
  <si>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</si>
  <si>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</si>
  <si>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</si>
  <si>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</si>
  <si>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</si>
  <si>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</si>
  <si>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</si>
  <si>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</si>
  <si>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</si>
  <si>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</si>
  <si>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</si>
  <si>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</si>
  <si>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</si>
  <si>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</si>
  <si>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</si>
  <si>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</si>
  <si>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</si>
  <si>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</si>
  <si>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</si>
  <si>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</si>
  <si>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</si>
  <si>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</si>
  <si>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</si>
  <si>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</si>
  <si>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</si>
  <si>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</si>
  <si>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</si>
  <si>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</si>
  <si>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</si>
  <si>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</si>
  <si>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</si>
  <si>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</si>
  <si>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</si>
  <si>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</si>
  <si>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</si>
  <si>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</si>
  <si>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</si>
  <si>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</si>
  <si>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</si>
  <si>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</si>
  <si>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</si>
  <si>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</si>
  <si>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</si>
  <si>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</si>
  <si>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</si>
  <si>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</si>
  <si>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</si>
  <si>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</si>
  <si>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</si>
  <si>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</si>
  <si>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</si>
  <si>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</si>
  <si>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</si>
  <si>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</si>
  <si>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</si>
  <si>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</si>
  <si>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</si>
  <si>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</si>
  <si>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</si>
  <si>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</si>
  <si>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</si>
  <si>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</si>
  <si>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22.12.2022 г. № 45/326, в редакции решения Городской Думы города                           Усть-Илимска  от 00.06.2023 г. № 00/000
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</si>
  <si>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</si>
  <si>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</si>
  <si>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</si>
  <si>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</si>
  <si>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</si>
  <si>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2 02 25116 04 0000 150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</si>
  <si>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</si>
  <si>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2 02 25081 04 0000 150</t>
  </si>
  <si>
    <t>Субсидии бюджетам на государственную поддержку организаций, входящих в систему спортивной подготовки</t>
  </si>
  <si>
    <t>2 02 25081 00 0000 150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</si>
  <si>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</si>
  <si>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2 02 25116 00 0000 150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</si>
  <si>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</si>
  <si>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</si>
  <si>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</si>
  <si>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</si>
  <si>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</si>
  <si>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</si>
  <si>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</si>
  <si>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</si>
  <si>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908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</si>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</sst>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</cellStyleXfs>
  <cellXfs count="127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vertical="center" wrapText="1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18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vertical="center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166" fontId="3" fillId="2" borderId="1" xfId="9" applyNumberFormat="1" applyFont="1" applyFill="1" applyBorder="1" applyAlignment="1" applyProtection="1">
      <alignment vertical="center" wrapText="1"/>
      <protection hidden="1"/>
    </xf>
    <xf numFmtId="167" fontId="3" fillId="2" borderId="1" xfId="0" applyNumberFormat="1" applyFont="1" applyFill="1" applyBorder="1" applyAlignment="1">
      <alignment vertical="center" wrapText="1"/>
    </xf>
    <xf numFmtId="0" fontId="19" fillId="2" borderId="1" xfId="6" applyNumberFormat="1" applyFont="1" applyFill="1" applyBorder="1" applyAlignment="1" applyProtection="1">
      <alignment vertical="center" wrapText="1"/>
    </xf>
    <xf numFmtId="0" fontId="3" fillId="2" borderId="1" xfId="15" applyNumberFormat="1" applyFont="1" applyFill="1" applyBorder="1" applyAlignment="1" applyProtection="1">
      <alignment vertical="center" wrapText="1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3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</cellXfs>
  <cellStyles count="19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76"/>
  <sheetViews>
    <sheetView tabSelected="1" view="pageBreakPreview" topLeftCell="A106" zoomScaleNormal="100" zoomScaleSheetLayoutView="100" workbookViewId="0">
      <selection activeCell="A107" sqref="A107"/>
    </sheetView>
  </sheetViews>
  <sheetFormatPr defaultColWidth="8.88671875" defaultRowHeight="13.8" x14ac:dyDescent="0.25"/>
  <cols>
    <col min="1" max="1" width="53.88671875" style="49" customWidth="1"/>
    <col min="2" max="2" width="8" style="51" customWidth="1"/>
    <col min="3" max="3" width="20.88671875" style="50" customWidth="1"/>
    <col min="4" max="4" width="15.33203125" style="51" customWidth="1"/>
    <col min="5" max="5" width="14.6640625" style="51" customWidth="1"/>
    <col min="6" max="6" width="15.77734375" style="6" customWidth="1"/>
    <col min="7" max="7" width="12.33203125" style="6" hidden="1" customWidth="1"/>
    <col min="8" max="8" width="10.88671875" style="6" hidden="1" customWidth="1"/>
    <col min="9" max="10" width="10" style="6" hidden="1" customWidth="1"/>
    <col min="11" max="11" width="8.88671875" style="6" hidden="1" customWidth="1"/>
    <col min="12" max="12" width="16.109375" style="6" hidden="1" customWidth="1"/>
    <col min="13" max="19" width="8.88671875" style="6" hidden="1" customWidth="1"/>
    <col min="20" max="20" width="0.33203125" style="6" hidden="1" customWidth="1"/>
    <col min="21" max="21" width="8.88671875" style="6" hidden="1" customWidth="1"/>
    <col min="22" max="22" width="0.33203125" style="6" hidden="1" customWidth="1"/>
    <col min="23" max="26" width="8.88671875" style="6" hidden="1" customWidth="1"/>
    <col min="27" max="34" width="8.88671875" style="51" hidden="1" customWidth="1"/>
    <col min="35" max="36" width="8.88671875" style="6" hidden="1" customWidth="1"/>
    <col min="37" max="37" width="0.33203125" style="6" hidden="1" customWidth="1"/>
    <col min="38" max="48" width="8.88671875" style="6" hidden="1" customWidth="1"/>
    <col min="49" max="49" width="0.44140625" style="6" hidden="1" customWidth="1"/>
    <col min="50" max="57" width="8.88671875" style="51" hidden="1" customWidth="1"/>
    <col min="58" max="58" width="19.33203125" style="51" hidden="1" customWidth="1"/>
    <col min="59" max="59" width="10" style="51" hidden="1" customWidth="1"/>
    <col min="60" max="64" width="8.88671875" style="51" hidden="1" customWidth="1"/>
    <col min="65" max="65" width="0.109375" style="6" customWidth="1"/>
    <col min="66" max="66" width="8.88671875" style="6" hidden="1" customWidth="1"/>
    <col min="67" max="67" width="35.6640625" style="51" customWidth="1"/>
    <col min="68" max="16384" width="8.88671875" style="51"/>
  </cols>
  <sheetData>
    <row r="1" spans="1:66" s="4" customFormat="1" ht="25.95" customHeight="1" x14ac:dyDescent="0.25">
      <c r="A1" s="79"/>
      <c r="B1" s="1"/>
      <c r="C1" s="2"/>
      <c r="D1" s="109" t="s">
        <v>441</v>
      </c>
      <c r="E1" s="109"/>
      <c r="F1" s="10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03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3"/>
      <c r="BL1" s="113"/>
      <c r="BM1" s="3"/>
      <c r="BN1" s="3"/>
    </row>
    <row r="2" spans="1:66" s="4" customFormat="1" ht="56.4" customHeight="1" x14ac:dyDescent="0.25">
      <c r="A2" s="79"/>
      <c r="B2" s="7"/>
      <c r="C2" s="2"/>
      <c r="D2" s="109"/>
      <c r="E2" s="109"/>
      <c r="F2" s="10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03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3"/>
      <c r="BL2" s="113"/>
      <c r="BM2" s="3"/>
      <c r="BN2" s="3"/>
    </row>
    <row r="3" spans="1:66" s="4" customFormat="1" ht="12.6" customHeight="1" x14ac:dyDescent="0.25">
      <c r="A3" s="79"/>
      <c r="B3" s="7"/>
      <c r="C3" s="2"/>
      <c r="D3" s="109"/>
      <c r="E3" s="109"/>
      <c r="F3" s="10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03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3"/>
      <c r="BL3" s="113"/>
      <c r="BM3" s="3"/>
      <c r="BN3" s="3"/>
    </row>
    <row r="4" spans="1:66" s="10" customFormat="1" ht="19.2" customHeight="1" x14ac:dyDescent="0.3">
      <c r="A4" s="112" t="s">
        <v>337</v>
      </c>
      <c r="B4" s="112"/>
      <c r="C4" s="112"/>
      <c r="D4" s="112"/>
      <c r="E4" s="112"/>
      <c r="F4" s="112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2" customHeight="1" x14ac:dyDescent="0.25">
      <c r="A5" s="79"/>
      <c r="B5" s="11"/>
      <c r="C5" s="11"/>
      <c r="D5" s="12"/>
      <c r="F5" s="13" t="s">
        <v>311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03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30.6" customHeight="1" x14ac:dyDescent="0.25">
      <c r="A6" s="124" t="s">
        <v>0</v>
      </c>
      <c r="B6" s="110" t="s">
        <v>1</v>
      </c>
      <c r="C6" s="110"/>
      <c r="D6" s="111" t="s">
        <v>2</v>
      </c>
      <c r="E6" s="111" t="s">
        <v>330</v>
      </c>
      <c r="F6" s="111" t="s">
        <v>338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3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24"/>
      <c r="B7" s="14" t="s">
        <v>3</v>
      </c>
      <c r="C7" s="14" t="s">
        <v>4</v>
      </c>
      <c r="D7" s="111"/>
      <c r="E7" s="111"/>
      <c r="F7" s="111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03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6.8" customHeight="1" x14ac:dyDescent="0.25">
      <c r="A8" s="106" t="s">
        <v>5</v>
      </c>
      <c r="B8" s="16" t="s">
        <v>6</v>
      </c>
      <c r="C8" s="63" t="s">
        <v>7</v>
      </c>
      <c r="D8" s="55">
        <f>+D9+D18+D28+D38+D46+D52+D85+D94+D110+D119+D165</f>
        <v>1318532361.3899999</v>
      </c>
      <c r="E8" s="55">
        <f>+E9+E18+E28+E38+E46+E52+E85+E94+E110+E119+E165</f>
        <v>1185143546.9300001</v>
      </c>
      <c r="F8" s="55">
        <f>+F9+F18+F28+F38+F46+F52+F85+F94+F110+F119+F165</f>
        <v>1227360271.1199999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22"/>
      <c r="U8" s="122"/>
      <c r="V8" s="122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5" customHeight="1" x14ac:dyDescent="0.25">
      <c r="A9" s="106" t="s">
        <v>8</v>
      </c>
      <c r="B9" s="16" t="s">
        <v>6</v>
      </c>
      <c r="C9" s="17" t="s">
        <v>9</v>
      </c>
      <c r="D9" s="55">
        <f>+D10</f>
        <v>691716801</v>
      </c>
      <c r="E9" s="55">
        <f>+E10</f>
        <v>709476886</v>
      </c>
      <c r="F9" s="55">
        <f>+F10</f>
        <v>734673319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2" customHeight="1" x14ac:dyDescent="0.25">
      <c r="A10" s="106" t="s">
        <v>10</v>
      </c>
      <c r="B10" s="16" t="s">
        <v>6</v>
      </c>
      <c r="C10" s="17" t="s">
        <v>11</v>
      </c>
      <c r="D10" s="55">
        <f>+D11+D12+D14+D13+D15+D16+D17</f>
        <v>691716801</v>
      </c>
      <c r="E10" s="55">
        <f t="shared" ref="E10:F10" si="0">+E11+E12+E14+E13+E15+E16+E17</f>
        <v>709476886</v>
      </c>
      <c r="F10" s="55">
        <f t="shared" si="0"/>
        <v>734673319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22"/>
      <c r="U10" s="122"/>
      <c r="V10" s="122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72" customHeight="1" x14ac:dyDescent="0.25">
      <c r="A11" s="80" t="s">
        <v>12</v>
      </c>
      <c r="B11" s="64" t="s">
        <v>13</v>
      </c>
      <c r="C11" s="64" t="s">
        <v>14</v>
      </c>
      <c r="D11" s="55">
        <v>610349951</v>
      </c>
      <c r="E11" s="55">
        <v>635258333</v>
      </c>
      <c r="F11" s="55">
        <v>657486022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100.2" customHeight="1" x14ac:dyDescent="0.25">
      <c r="A12" s="80" t="s">
        <v>15</v>
      </c>
      <c r="B12" s="64" t="s">
        <v>13</v>
      </c>
      <c r="C12" s="64" t="s">
        <v>16</v>
      </c>
      <c r="D12" s="55">
        <f>687790+2012210</f>
        <v>2700000</v>
      </c>
      <c r="E12" s="55">
        <v>719428</v>
      </c>
      <c r="F12" s="55">
        <v>748206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03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5.6" customHeight="1" x14ac:dyDescent="0.25">
      <c r="A13" s="80" t="s">
        <v>17</v>
      </c>
      <c r="B13" s="64" t="s">
        <v>13</v>
      </c>
      <c r="C13" s="64" t="s">
        <v>18</v>
      </c>
      <c r="D13" s="55">
        <v>6500760</v>
      </c>
      <c r="E13" s="55">
        <v>6799795</v>
      </c>
      <c r="F13" s="55">
        <v>7071787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03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84.6" customHeight="1" x14ac:dyDescent="0.25">
      <c r="A14" s="80" t="s">
        <v>19</v>
      </c>
      <c r="B14" s="64" t="s">
        <v>13</v>
      </c>
      <c r="C14" s="64" t="s">
        <v>20</v>
      </c>
      <c r="D14" s="55">
        <v>17744430</v>
      </c>
      <c r="E14" s="55">
        <v>15422674</v>
      </c>
      <c r="F14" s="55">
        <v>16039581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03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3.4" customHeight="1" x14ac:dyDescent="0.25">
      <c r="A15" s="80" t="s">
        <v>314</v>
      </c>
      <c r="B15" s="64" t="s">
        <v>13</v>
      </c>
      <c r="C15" s="64" t="s">
        <v>313</v>
      </c>
      <c r="D15" s="55">
        <v>49021660</v>
      </c>
      <c r="E15" s="55">
        <v>51276656</v>
      </c>
      <c r="F15" s="55">
        <v>53327723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03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8" customHeight="1" x14ac:dyDescent="0.25">
      <c r="A16" s="81" t="s">
        <v>396</v>
      </c>
      <c r="B16" s="64" t="s">
        <v>13</v>
      </c>
      <c r="C16" s="78" t="s">
        <v>394</v>
      </c>
      <c r="D16" s="55">
        <f>1000000+2000000</f>
        <v>3000000</v>
      </c>
      <c r="E16" s="55">
        <v>0</v>
      </c>
      <c r="F16" s="55">
        <v>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03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6.2" customHeight="1" x14ac:dyDescent="0.25">
      <c r="A17" s="81" t="s">
        <v>397</v>
      </c>
      <c r="B17" s="64" t="s">
        <v>13</v>
      </c>
      <c r="C17" s="78" t="s">
        <v>395</v>
      </c>
      <c r="D17" s="55">
        <f>58312.15+2341687.85</f>
        <v>2400000</v>
      </c>
      <c r="E17" s="55">
        <v>0</v>
      </c>
      <c r="F17" s="55">
        <v>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03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30.6" customHeight="1" x14ac:dyDescent="0.25">
      <c r="A18" s="80" t="s">
        <v>21</v>
      </c>
      <c r="B18" s="64" t="s">
        <v>6</v>
      </c>
      <c r="C18" s="64" t="s">
        <v>22</v>
      </c>
      <c r="D18" s="55">
        <f>+D19</f>
        <v>15818490</v>
      </c>
      <c r="E18" s="55">
        <f>+E19</f>
        <v>17592070</v>
      </c>
      <c r="F18" s="55">
        <f>+F19</f>
        <v>18576150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03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1.2" customHeight="1" x14ac:dyDescent="0.25">
      <c r="A19" s="82" t="s">
        <v>23</v>
      </c>
      <c r="B19" s="64" t="s">
        <v>6</v>
      </c>
      <c r="C19" s="64" t="s">
        <v>24</v>
      </c>
      <c r="D19" s="55">
        <f>+D20+D22+D24+D26</f>
        <v>15818490</v>
      </c>
      <c r="E19" s="55">
        <f t="shared" ref="E19:F19" si="1">+E20+E22+E24+E26</f>
        <v>17592070</v>
      </c>
      <c r="F19" s="55">
        <f t="shared" si="1"/>
        <v>18576150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03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23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63" customHeight="1" x14ac:dyDescent="0.25">
      <c r="A20" s="82" t="s">
        <v>25</v>
      </c>
      <c r="B20" s="64" t="s">
        <v>6</v>
      </c>
      <c r="C20" s="64" t="s">
        <v>26</v>
      </c>
      <c r="D20" s="55">
        <f t="shared" ref="D20:F20" si="2">+D21</f>
        <v>7492430</v>
      </c>
      <c r="E20" s="55">
        <f t="shared" si="2"/>
        <v>8392870</v>
      </c>
      <c r="F20" s="55">
        <f t="shared" si="2"/>
        <v>8884140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03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23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9" customHeight="1" x14ac:dyDescent="0.25">
      <c r="A21" s="82" t="s">
        <v>27</v>
      </c>
      <c r="B21" s="77">
        <v>182</v>
      </c>
      <c r="C21" s="65" t="s">
        <v>28</v>
      </c>
      <c r="D21" s="56">
        <f>4753570+2738860</f>
        <v>7492430</v>
      </c>
      <c r="E21" s="56">
        <f>4753570+3639300</f>
        <v>8392870</v>
      </c>
      <c r="F21" s="56">
        <f>4753570+4130570</f>
        <v>8884140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03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23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4.400000000000006" customHeight="1" x14ac:dyDescent="0.25">
      <c r="A22" s="82" t="s">
        <v>29</v>
      </c>
      <c r="B22" s="64" t="s">
        <v>6</v>
      </c>
      <c r="C22" s="64" t="s">
        <v>30</v>
      </c>
      <c r="D22" s="55">
        <f>+D23</f>
        <v>52040</v>
      </c>
      <c r="E22" s="55">
        <f>+E23</f>
        <v>57330</v>
      </c>
      <c r="F22" s="55">
        <f>+F23</f>
        <v>59100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03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23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14.6" customHeight="1" x14ac:dyDescent="0.25">
      <c r="A23" s="82" t="s">
        <v>31</v>
      </c>
      <c r="B23" s="64" t="s">
        <v>13</v>
      </c>
      <c r="C23" s="65" t="s">
        <v>339</v>
      </c>
      <c r="D23" s="56">
        <f>26550+25490</f>
        <v>52040</v>
      </c>
      <c r="E23" s="56">
        <f>26550+30780</f>
        <v>57330</v>
      </c>
      <c r="F23" s="56">
        <f>26550+32550</f>
        <v>59100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103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23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60" customHeight="1" x14ac:dyDescent="0.25">
      <c r="A24" s="82" t="s">
        <v>32</v>
      </c>
      <c r="B24" s="64" t="s">
        <v>6</v>
      </c>
      <c r="C24" s="64" t="s">
        <v>33</v>
      </c>
      <c r="D24" s="55">
        <f>+D25</f>
        <v>9262170</v>
      </c>
      <c r="E24" s="55">
        <f>+E25</f>
        <v>10241020</v>
      </c>
      <c r="F24" s="55">
        <f>+F25</f>
        <v>10726930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03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23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5" customHeight="1" x14ac:dyDescent="0.25">
      <c r="A25" s="82" t="s">
        <v>34</v>
      </c>
      <c r="B25" s="64" t="s">
        <v>13</v>
      </c>
      <c r="C25" s="65" t="s">
        <v>340</v>
      </c>
      <c r="D25" s="56">
        <f>3045220+6216950</f>
        <v>9262170</v>
      </c>
      <c r="E25" s="56">
        <f>5901751+315199+4024070</f>
        <v>10241020</v>
      </c>
      <c r="F25" s="56">
        <f>5901751+315199+4509980</f>
        <v>10726930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03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23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2.4" customHeight="1" x14ac:dyDescent="0.25">
      <c r="A26" s="82" t="s">
        <v>35</v>
      </c>
      <c r="B26" s="64" t="s">
        <v>6</v>
      </c>
      <c r="C26" s="64" t="s">
        <v>36</v>
      </c>
      <c r="D26" s="55">
        <f>+D27</f>
        <v>-988150</v>
      </c>
      <c r="E26" s="55">
        <f>+E27</f>
        <v>-1099150</v>
      </c>
      <c r="F26" s="55">
        <f>+F27</f>
        <v>-1094020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103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23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8.4" customHeight="1" x14ac:dyDescent="0.25">
      <c r="A27" s="82" t="s">
        <v>37</v>
      </c>
      <c r="B27" s="64" t="s">
        <v>13</v>
      </c>
      <c r="C27" s="65" t="s">
        <v>341</v>
      </c>
      <c r="D27" s="56">
        <f>-729790-258360</f>
        <v>-988150</v>
      </c>
      <c r="E27" s="56">
        <f>-578611-151179-369360</f>
        <v>-1099150</v>
      </c>
      <c r="F27" s="56">
        <f>-578611-151179-364230</f>
        <v>-1094020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03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23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5">
      <c r="A28" s="106" t="s">
        <v>38</v>
      </c>
      <c r="B28" s="64" t="s">
        <v>6</v>
      </c>
      <c r="C28" s="17" t="s">
        <v>39</v>
      </c>
      <c r="D28" s="55">
        <f>+D36+D29+D34</f>
        <v>255800822</v>
      </c>
      <c r="E28" s="55">
        <f t="shared" ref="E28:F28" si="3">+E36+E29+E34</f>
        <v>188861207</v>
      </c>
      <c r="F28" s="55">
        <f t="shared" si="3"/>
        <v>196183775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103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32.4" customHeight="1" x14ac:dyDescent="0.25">
      <c r="A29" s="82" t="s">
        <v>40</v>
      </c>
      <c r="B29" s="64" t="s">
        <v>6</v>
      </c>
      <c r="C29" s="28" t="s">
        <v>41</v>
      </c>
      <c r="D29" s="55">
        <f>+D30+D32</f>
        <v>232730822</v>
      </c>
      <c r="E29" s="55">
        <f>+E30+E32</f>
        <v>165539207</v>
      </c>
      <c r="F29" s="55">
        <f>+F30+F32</f>
        <v>172160775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103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33.6" customHeight="1" x14ac:dyDescent="0.25">
      <c r="A30" s="82" t="s">
        <v>42</v>
      </c>
      <c r="B30" s="64" t="s">
        <v>6</v>
      </c>
      <c r="C30" s="28" t="s">
        <v>43</v>
      </c>
      <c r="D30" s="55">
        <f>+D31</f>
        <v>145371809</v>
      </c>
      <c r="E30" s="55">
        <f>+E31</f>
        <v>103401577</v>
      </c>
      <c r="F30" s="55">
        <f>+F31</f>
        <v>107537640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103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31.8" customHeight="1" x14ac:dyDescent="0.25">
      <c r="A31" s="82" t="s">
        <v>42</v>
      </c>
      <c r="B31" s="64" t="s">
        <v>13</v>
      </c>
      <c r="C31" s="28" t="s">
        <v>44</v>
      </c>
      <c r="D31" s="55">
        <f>98854280+46517529</f>
        <v>145371809</v>
      </c>
      <c r="E31" s="55">
        <f>103401577</f>
        <v>103401577</v>
      </c>
      <c r="F31" s="55">
        <f>107537640</f>
        <v>107537640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103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49.8" customHeight="1" x14ac:dyDescent="0.25">
      <c r="A32" s="82" t="s">
        <v>45</v>
      </c>
      <c r="B32" s="64" t="s">
        <v>6</v>
      </c>
      <c r="C32" s="28" t="s">
        <v>46</v>
      </c>
      <c r="D32" s="55">
        <f>+D33</f>
        <v>87359013</v>
      </c>
      <c r="E32" s="55">
        <f>+E33</f>
        <v>62137630</v>
      </c>
      <c r="F32" s="55">
        <f>+F33</f>
        <v>64623135</v>
      </c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03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61.8" customHeight="1" x14ac:dyDescent="0.25">
      <c r="A33" s="82" t="s">
        <v>47</v>
      </c>
      <c r="B33" s="64" t="s">
        <v>13</v>
      </c>
      <c r="C33" s="28" t="s">
        <v>48</v>
      </c>
      <c r="D33" s="55">
        <f>59405000+27954013</f>
        <v>87359013</v>
      </c>
      <c r="E33" s="55">
        <f>62137630</f>
        <v>62137630</v>
      </c>
      <c r="F33" s="55">
        <f>64623135</f>
        <v>64623135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103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15.6" customHeight="1" x14ac:dyDescent="0.25">
      <c r="A34" s="82" t="s">
        <v>342</v>
      </c>
      <c r="B34" s="64" t="s">
        <v>6</v>
      </c>
      <c r="C34" s="28" t="s">
        <v>343</v>
      </c>
      <c r="D34" s="55">
        <f>+D35</f>
        <v>20000</v>
      </c>
      <c r="E34" s="55">
        <f t="shared" ref="E34:F34" si="4">+E35</f>
        <v>22000</v>
      </c>
      <c r="F34" s="55">
        <f t="shared" si="4"/>
        <v>23000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103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19.8" customHeight="1" x14ac:dyDescent="0.25">
      <c r="A35" s="82" t="s">
        <v>342</v>
      </c>
      <c r="B35" s="64" t="s">
        <v>13</v>
      </c>
      <c r="C35" s="28" t="s">
        <v>344</v>
      </c>
      <c r="D35" s="55">
        <v>20000</v>
      </c>
      <c r="E35" s="55">
        <v>22000</v>
      </c>
      <c r="F35" s="55">
        <v>23000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03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4" customFormat="1" ht="31.8" customHeight="1" x14ac:dyDescent="0.25">
      <c r="A36" s="82" t="s">
        <v>49</v>
      </c>
      <c r="B36" s="64" t="s">
        <v>6</v>
      </c>
      <c r="C36" s="66" t="s">
        <v>50</v>
      </c>
      <c r="D36" s="55">
        <f>+D37</f>
        <v>23050000</v>
      </c>
      <c r="E36" s="55">
        <f>+E37</f>
        <v>23300000</v>
      </c>
      <c r="F36" s="55">
        <f>+F37</f>
        <v>24000000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03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34.200000000000003" customHeight="1" x14ac:dyDescent="0.25">
      <c r="A37" s="82" t="s">
        <v>51</v>
      </c>
      <c r="B37" s="64" t="s">
        <v>13</v>
      </c>
      <c r="C37" s="66" t="s">
        <v>52</v>
      </c>
      <c r="D37" s="55">
        <v>23050000</v>
      </c>
      <c r="E37" s="55">
        <v>23300000</v>
      </c>
      <c r="F37" s="55">
        <v>24000000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03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105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3" customFormat="1" ht="15.6" customHeight="1" x14ac:dyDescent="0.25">
      <c r="A38" s="106" t="s">
        <v>53</v>
      </c>
      <c r="B38" s="64" t="s">
        <v>6</v>
      </c>
      <c r="C38" s="17" t="s">
        <v>54</v>
      </c>
      <c r="D38" s="55">
        <f>+D39+D41</f>
        <v>81450000</v>
      </c>
      <c r="E38" s="55">
        <f t="shared" ref="E38:F38" si="5">+E39+E41</f>
        <v>84300000</v>
      </c>
      <c r="F38" s="55">
        <f t="shared" si="5"/>
        <v>87000000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103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4" customFormat="1" ht="18" customHeight="1" x14ac:dyDescent="0.25">
      <c r="A39" s="82" t="s">
        <v>55</v>
      </c>
      <c r="B39" s="64" t="s">
        <v>6</v>
      </c>
      <c r="C39" s="17" t="s">
        <v>56</v>
      </c>
      <c r="D39" s="55">
        <f>+D40</f>
        <v>14250000</v>
      </c>
      <c r="E39" s="55">
        <f>+E40</f>
        <v>16500000</v>
      </c>
      <c r="F39" s="55">
        <f>+F40</f>
        <v>18500000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03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6.8" customHeight="1" x14ac:dyDescent="0.25">
      <c r="A40" s="82" t="s">
        <v>57</v>
      </c>
      <c r="B40" s="64" t="s">
        <v>13</v>
      </c>
      <c r="C40" s="17" t="s">
        <v>58</v>
      </c>
      <c r="D40" s="55">
        <v>14250000</v>
      </c>
      <c r="E40" s="55">
        <v>16500000</v>
      </c>
      <c r="F40" s="55">
        <v>18500000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03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105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17.399999999999999" customHeight="1" x14ac:dyDescent="0.25">
      <c r="A41" s="82" t="s">
        <v>59</v>
      </c>
      <c r="B41" s="64" t="s">
        <v>6</v>
      </c>
      <c r="C41" s="64" t="s">
        <v>60</v>
      </c>
      <c r="D41" s="55">
        <f>+D42+D44</f>
        <v>67200000</v>
      </c>
      <c r="E41" s="55">
        <f>+E42+E44</f>
        <v>67800000</v>
      </c>
      <c r="F41" s="55">
        <f>+F42+F44</f>
        <v>68500000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03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t="16.2" customHeight="1" x14ac:dyDescent="0.25">
      <c r="A42" s="82" t="s">
        <v>61</v>
      </c>
      <c r="B42" s="64" t="s">
        <v>6</v>
      </c>
      <c r="C42" s="64" t="s">
        <v>62</v>
      </c>
      <c r="D42" s="55">
        <f>+D43</f>
        <v>55090000</v>
      </c>
      <c r="E42" s="55">
        <f>+E43</f>
        <v>55600000</v>
      </c>
      <c r="F42" s="55">
        <f>+F43</f>
        <v>56200000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03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33.6" customHeight="1" x14ac:dyDescent="0.25">
      <c r="A43" s="82" t="s">
        <v>63</v>
      </c>
      <c r="B43" s="64" t="s">
        <v>13</v>
      </c>
      <c r="C43" s="64" t="s">
        <v>64</v>
      </c>
      <c r="D43" s="55">
        <v>55090000</v>
      </c>
      <c r="E43" s="55">
        <v>55600000</v>
      </c>
      <c r="F43" s="55">
        <v>56200000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03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8" customHeight="1" x14ac:dyDescent="0.25">
      <c r="A44" s="82" t="s">
        <v>65</v>
      </c>
      <c r="B44" s="64" t="s">
        <v>6</v>
      </c>
      <c r="C44" s="64" t="s">
        <v>66</v>
      </c>
      <c r="D44" s="55">
        <f>+D45</f>
        <v>12110000</v>
      </c>
      <c r="E44" s="55">
        <f>+E45</f>
        <v>12200000</v>
      </c>
      <c r="F44" s="55">
        <f>+F45</f>
        <v>12300000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03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37.200000000000003" customHeight="1" x14ac:dyDescent="0.25">
      <c r="A45" s="82" t="s">
        <v>67</v>
      </c>
      <c r="B45" s="64" t="s">
        <v>13</v>
      </c>
      <c r="C45" s="64" t="s">
        <v>68</v>
      </c>
      <c r="D45" s="55">
        <v>12110000</v>
      </c>
      <c r="E45" s="55">
        <v>12200000</v>
      </c>
      <c r="F45" s="55">
        <v>12300000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03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105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30" customFormat="1" ht="15.6" customHeight="1" x14ac:dyDescent="0.25">
      <c r="A46" s="106" t="s">
        <v>69</v>
      </c>
      <c r="B46" s="16" t="s">
        <v>6</v>
      </c>
      <c r="C46" s="17" t="s">
        <v>70</v>
      </c>
      <c r="D46" s="55">
        <f>+D47+D49</f>
        <v>21645000</v>
      </c>
      <c r="E46" s="55">
        <f t="shared" ref="E46:F46" si="6">+E47+E49</f>
        <v>21700000</v>
      </c>
      <c r="F46" s="55">
        <f t="shared" si="6"/>
        <v>21820000</v>
      </c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103"/>
      <c r="U46" s="103"/>
      <c r="V46" s="103"/>
      <c r="W46" s="103"/>
      <c r="X46" s="103"/>
      <c r="Y46" s="29"/>
      <c r="Z46" s="29"/>
      <c r="AC46" s="31"/>
      <c r="AD46" s="31"/>
      <c r="AE46" s="31"/>
      <c r="AF46" s="31"/>
      <c r="AG46" s="31"/>
      <c r="AH46" s="31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BM46" s="29"/>
      <c r="BN46" s="29"/>
    </row>
    <row r="47" spans="1:66" s="30" customFormat="1" ht="35.4" customHeight="1" x14ac:dyDescent="0.25">
      <c r="A47" s="82" t="s">
        <v>71</v>
      </c>
      <c r="B47" s="64" t="s">
        <v>6</v>
      </c>
      <c r="C47" s="17" t="s">
        <v>72</v>
      </c>
      <c r="D47" s="55">
        <f>+D48</f>
        <v>21600000</v>
      </c>
      <c r="E47" s="55">
        <f>+E48</f>
        <v>21700000</v>
      </c>
      <c r="F47" s="55">
        <f>+F48</f>
        <v>21800000</v>
      </c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103"/>
      <c r="U47" s="103"/>
      <c r="V47" s="103"/>
      <c r="W47" s="103"/>
      <c r="X47" s="103"/>
      <c r="Y47" s="29"/>
      <c r="Z47" s="29"/>
      <c r="AC47" s="31"/>
      <c r="AD47" s="31"/>
      <c r="AE47" s="31"/>
      <c r="AF47" s="31"/>
      <c r="AG47" s="31"/>
      <c r="AH47" s="31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BM47" s="29"/>
      <c r="BN47" s="29"/>
    </row>
    <row r="48" spans="1:66" s="4" customFormat="1" ht="45" customHeight="1" x14ac:dyDescent="0.25">
      <c r="A48" s="82" t="s">
        <v>73</v>
      </c>
      <c r="B48" s="64" t="s">
        <v>13</v>
      </c>
      <c r="C48" s="17" t="s">
        <v>74</v>
      </c>
      <c r="D48" s="55">
        <v>21600000</v>
      </c>
      <c r="E48" s="55">
        <v>21700000</v>
      </c>
      <c r="F48" s="55">
        <v>21800000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103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105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4.799999999999997" customHeight="1" x14ac:dyDescent="0.25">
      <c r="A49" s="82" t="s">
        <v>75</v>
      </c>
      <c r="B49" s="16" t="s">
        <v>6</v>
      </c>
      <c r="C49" s="17" t="s">
        <v>76</v>
      </c>
      <c r="D49" s="55">
        <f>+D50</f>
        <v>45000</v>
      </c>
      <c r="E49" s="55">
        <f t="shared" ref="E49:F49" si="7">+E50</f>
        <v>0</v>
      </c>
      <c r="F49" s="55">
        <f t="shared" si="7"/>
        <v>20000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03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36" customHeight="1" x14ac:dyDescent="0.25">
      <c r="A50" s="82" t="s">
        <v>77</v>
      </c>
      <c r="B50" s="16" t="s">
        <v>6</v>
      </c>
      <c r="C50" s="17" t="s">
        <v>79</v>
      </c>
      <c r="D50" s="55">
        <f t="shared" ref="D50:F50" si="8">+D51</f>
        <v>45000</v>
      </c>
      <c r="E50" s="55">
        <f t="shared" si="8"/>
        <v>0</v>
      </c>
      <c r="F50" s="55">
        <f t="shared" si="8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03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36" customHeight="1" x14ac:dyDescent="0.25">
      <c r="A51" s="82" t="s">
        <v>77</v>
      </c>
      <c r="B51" s="16" t="s">
        <v>78</v>
      </c>
      <c r="C51" s="17" t="s">
        <v>315</v>
      </c>
      <c r="D51" s="55">
        <f>15000+30000</f>
        <v>45000</v>
      </c>
      <c r="E51" s="55">
        <v>0</v>
      </c>
      <c r="F51" s="55"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03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3" customFormat="1" ht="43.95" customHeight="1" x14ac:dyDescent="0.25">
      <c r="A52" s="106" t="s">
        <v>81</v>
      </c>
      <c r="B52" s="16" t="s">
        <v>6</v>
      </c>
      <c r="C52" s="17" t="s">
        <v>82</v>
      </c>
      <c r="D52" s="55">
        <f>+D53+D68+D71+D63</f>
        <v>95356374</v>
      </c>
      <c r="E52" s="55">
        <f t="shared" ref="E52:F52" si="9">+E53+E68+E71+E63</f>
        <v>101071085</v>
      </c>
      <c r="F52" s="55">
        <f t="shared" si="9"/>
        <v>105114721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3"/>
      <c r="U52" s="3"/>
      <c r="V52" s="103"/>
      <c r="W52" s="3"/>
      <c r="X52" s="3"/>
      <c r="Y52" s="22"/>
      <c r="Z52" s="22"/>
      <c r="AC52" s="21"/>
      <c r="AD52" s="21"/>
      <c r="AE52" s="21"/>
      <c r="AF52" s="21"/>
      <c r="AG52" s="21"/>
      <c r="AH52" s="21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BM52" s="22"/>
      <c r="BN52" s="22"/>
    </row>
    <row r="53" spans="1:66" s="4" customFormat="1" ht="77.400000000000006" customHeight="1" x14ac:dyDescent="0.25">
      <c r="A53" s="83" t="s">
        <v>83</v>
      </c>
      <c r="B53" s="67" t="s">
        <v>6</v>
      </c>
      <c r="C53" s="68" t="s">
        <v>84</v>
      </c>
      <c r="D53" s="69">
        <f>D54+D57+D60</f>
        <v>76523808</v>
      </c>
      <c r="E53" s="69">
        <f t="shared" ref="E53:F53" si="10">E54+E57+E60</f>
        <v>81895248</v>
      </c>
      <c r="F53" s="69">
        <f t="shared" si="10"/>
        <v>85416744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03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64.2" customHeight="1" x14ac:dyDescent="0.25">
      <c r="A54" s="83" t="s">
        <v>85</v>
      </c>
      <c r="B54" s="67" t="s">
        <v>6</v>
      </c>
      <c r="C54" s="68" t="s">
        <v>86</v>
      </c>
      <c r="D54" s="69">
        <f t="shared" ref="D54:F55" si="11">+D55</f>
        <v>60093901</v>
      </c>
      <c r="E54" s="69">
        <f t="shared" si="11"/>
        <v>64774369</v>
      </c>
      <c r="F54" s="69">
        <f t="shared" si="11"/>
        <v>67559667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03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72.599999999999994" customHeight="1" x14ac:dyDescent="0.25">
      <c r="A55" s="83" t="s">
        <v>87</v>
      </c>
      <c r="B55" s="67" t="s">
        <v>6</v>
      </c>
      <c r="C55" s="68" t="s">
        <v>88</v>
      </c>
      <c r="D55" s="69">
        <f t="shared" si="11"/>
        <v>60093901</v>
      </c>
      <c r="E55" s="69">
        <f t="shared" si="11"/>
        <v>64774369</v>
      </c>
      <c r="F55" s="69">
        <f t="shared" si="11"/>
        <v>67559667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03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7.2" customHeight="1" x14ac:dyDescent="0.25">
      <c r="A56" s="83" t="s">
        <v>317</v>
      </c>
      <c r="B56" s="67" t="s">
        <v>78</v>
      </c>
      <c r="C56" s="68" t="s">
        <v>316</v>
      </c>
      <c r="D56" s="69">
        <f>60890993+1212908-2010000</f>
        <v>60093901</v>
      </c>
      <c r="E56" s="69">
        <f>63509305+1265064</f>
        <v>64774369</v>
      </c>
      <c r="F56" s="69">
        <f>66240205+1319462</f>
        <v>67559667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03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0.95" customHeight="1" x14ac:dyDescent="0.25">
      <c r="A57" s="83" t="s">
        <v>89</v>
      </c>
      <c r="B57" s="67" t="s">
        <v>6</v>
      </c>
      <c r="C57" s="68" t="s">
        <v>90</v>
      </c>
      <c r="D57" s="69">
        <f t="shared" ref="D57:F58" si="12">+D58</f>
        <v>11258652</v>
      </c>
      <c r="E57" s="69">
        <f t="shared" si="12"/>
        <v>11742774</v>
      </c>
      <c r="F57" s="69">
        <f t="shared" si="12"/>
        <v>12247713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03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6" customHeight="1" x14ac:dyDescent="0.25">
      <c r="A58" s="83" t="s">
        <v>91</v>
      </c>
      <c r="B58" s="67" t="s">
        <v>6</v>
      </c>
      <c r="C58" s="68" t="s">
        <v>92</v>
      </c>
      <c r="D58" s="69">
        <f t="shared" si="12"/>
        <v>11258652</v>
      </c>
      <c r="E58" s="69">
        <f t="shared" si="12"/>
        <v>11742774</v>
      </c>
      <c r="F58" s="69">
        <f t="shared" si="12"/>
        <v>12247713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03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9.599999999999994" customHeight="1" x14ac:dyDescent="0.25">
      <c r="A59" s="83" t="s">
        <v>319</v>
      </c>
      <c r="B59" s="67" t="s">
        <v>78</v>
      </c>
      <c r="C59" s="68" t="s">
        <v>318</v>
      </c>
      <c r="D59" s="69">
        <f>9012052+2246600</f>
        <v>11258652</v>
      </c>
      <c r="E59" s="69">
        <f>9399571+2343203</f>
        <v>11742774</v>
      </c>
      <c r="F59" s="69">
        <f>9803752+2443961</f>
        <v>12247713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03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42" customHeight="1" x14ac:dyDescent="0.25">
      <c r="A60" s="83" t="s">
        <v>93</v>
      </c>
      <c r="B60" s="67" t="s">
        <v>6</v>
      </c>
      <c r="C60" s="68" t="s">
        <v>94</v>
      </c>
      <c r="D60" s="69">
        <f t="shared" ref="D60:F61" si="13">+D61</f>
        <v>5171255</v>
      </c>
      <c r="E60" s="69">
        <f t="shared" si="13"/>
        <v>5378105</v>
      </c>
      <c r="F60" s="69">
        <f t="shared" si="13"/>
        <v>5609364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03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8.8" customHeight="1" x14ac:dyDescent="0.25">
      <c r="A61" s="83" t="s">
        <v>95</v>
      </c>
      <c r="B61" s="67" t="s">
        <v>6</v>
      </c>
      <c r="C61" s="68" t="s">
        <v>96</v>
      </c>
      <c r="D61" s="69">
        <f t="shared" si="13"/>
        <v>5171255</v>
      </c>
      <c r="E61" s="69">
        <f t="shared" si="13"/>
        <v>5378105</v>
      </c>
      <c r="F61" s="69">
        <f t="shared" si="13"/>
        <v>5609364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03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9.6" x14ac:dyDescent="0.25">
      <c r="A62" s="83" t="s">
        <v>321</v>
      </c>
      <c r="B62" s="67" t="s">
        <v>78</v>
      </c>
      <c r="C62" s="68" t="s">
        <v>320</v>
      </c>
      <c r="D62" s="69">
        <f>5502231-330976</f>
        <v>5171255</v>
      </c>
      <c r="E62" s="69">
        <f>5738827-360722</f>
        <v>5378105</v>
      </c>
      <c r="F62" s="69">
        <f>5985596-376232</f>
        <v>5609364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03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55.8" customHeight="1" x14ac:dyDescent="0.25">
      <c r="A63" s="87" t="s">
        <v>473</v>
      </c>
      <c r="B63" s="16" t="s">
        <v>6</v>
      </c>
      <c r="C63" s="39" t="s">
        <v>476</v>
      </c>
      <c r="D63" s="55">
        <f>+D64+D66</f>
        <v>119029</v>
      </c>
      <c r="E63" s="55">
        <f t="shared" ref="E63:F63" si="14">+E64+E66</f>
        <v>0</v>
      </c>
      <c r="F63" s="55">
        <f t="shared" si="14"/>
        <v>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03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60" customHeight="1" x14ac:dyDescent="0.25">
      <c r="A64" s="97" t="s">
        <v>474</v>
      </c>
      <c r="B64" s="67" t="s">
        <v>6</v>
      </c>
      <c r="C64" s="73" t="s">
        <v>477</v>
      </c>
      <c r="D64" s="69">
        <f>+D65</f>
        <v>118000</v>
      </c>
      <c r="E64" s="69">
        <f t="shared" ref="E64:F64" si="15">+E65</f>
        <v>0</v>
      </c>
      <c r="F64" s="69">
        <f t="shared" si="15"/>
        <v>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03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136.19999999999999" customHeight="1" x14ac:dyDescent="0.25">
      <c r="A65" s="97" t="s">
        <v>475</v>
      </c>
      <c r="B65" s="67" t="s">
        <v>78</v>
      </c>
      <c r="C65" s="73" t="s">
        <v>478</v>
      </c>
      <c r="D65" s="69">
        <v>118000</v>
      </c>
      <c r="E65" s="69">
        <v>0</v>
      </c>
      <c r="F65" s="69"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03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>
        <v>0</v>
      </c>
      <c r="BN65" s="3"/>
    </row>
    <row r="66" spans="1:66" s="4" customFormat="1" ht="55.2" customHeight="1" x14ac:dyDescent="0.25">
      <c r="A66" s="83" t="s">
        <v>479</v>
      </c>
      <c r="B66" s="67" t="s">
        <v>6</v>
      </c>
      <c r="C66" s="68" t="s">
        <v>480</v>
      </c>
      <c r="D66" s="69">
        <f>+D67</f>
        <v>1029</v>
      </c>
      <c r="E66" s="69">
        <f t="shared" ref="E66:F66" si="16">+E67</f>
        <v>0</v>
      </c>
      <c r="F66" s="69">
        <f t="shared" si="16"/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03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122.4" customHeight="1" x14ac:dyDescent="0.25">
      <c r="A67" s="83" t="s">
        <v>481</v>
      </c>
      <c r="B67" s="67" t="s">
        <v>78</v>
      </c>
      <c r="C67" s="68" t="s">
        <v>482</v>
      </c>
      <c r="D67" s="69">
        <v>1029</v>
      </c>
      <c r="E67" s="69">
        <v>0</v>
      </c>
      <c r="F67" s="69">
        <v>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03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27.6" customHeight="1" x14ac:dyDescent="0.25">
      <c r="A68" s="83" t="s">
        <v>97</v>
      </c>
      <c r="B68" s="67" t="s">
        <v>6</v>
      </c>
      <c r="C68" s="68" t="s">
        <v>98</v>
      </c>
      <c r="D68" s="69">
        <f>+D69</f>
        <v>320424</v>
      </c>
      <c r="E68" s="69">
        <f t="shared" ref="D68:F69" si="17">+E69</f>
        <v>347000</v>
      </c>
      <c r="F68" s="69">
        <f t="shared" si="17"/>
        <v>382000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03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40.950000000000003" customHeight="1" x14ac:dyDescent="0.25">
      <c r="A69" s="83" t="s">
        <v>99</v>
      </c>
      <c r="B69" s="67" t="s">
        <v>6</v>
      </c>
      <c r="C69" s="68" t="s">
        <v>100</v>
      </c>
      <c r="D69" s="69">
        <f t="shared" si="17"/>
        <v>320424</v>
      </c>
      <c r="E69" s="69">
        <f t="shared" si="17"/>
        <v>347000</v>
      </c>
      <c r="F69" s="69">
        <f t="shared" si="17"/>
        <v>382000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03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43.2" customHeight="1" x14ac:dyDescent="0.25">
      <c r="A70" s="83" t="s">
        <v>101</v>
      </c>
      <c r="B70" s="67" t="s">
        <v>78</v>
      </c>
      <c r="C70" s="68" t="s">
        <v>102</v>
      </c>
      <c r="D70" s="69">
        <f>316000+4424</f>
        <v>320424</v>
      </c>
      <c r="E70" s="69">
        <v>347000</v>
      </c>
      <c r="F70" s="69">
        <v>382000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03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70.2" customHeight="1" x14ac:dyDescent="0.25">
      <c r="A71" s="83" t="s">
        <v>103</v>
      </c>
      <c r="B71" s="67" t="s">
        <v>6</v>
      </c>
      <c r="C71" s="68" t="s">
        <v>104</v>
      </c>
      <c r="D71" s="69">
        <f>+D72+D77</f>
        <v>18393113</v>
      </c>
      <c r="E71" s="69">
        <f t="shared" ref="E71:F71" si="18">+E72+E77</f>
        <v>18828837</v>
      </c>
      <c r="F71" s="69">
        <f t="shared" si="18"/>
        <v>19315977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03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69" customHeight="1" x14ac:dyDescent="0.25">
      <c r="A72" s="83" t="s">
        <v>105</v>
      </c>
      <c r="B72" s="67" t="s">
        <v>6</v>
      </c>
      <c r="C72" s="70" t="s">
        <v>106</v>
      </c>
      <c r="D72" s="69">
        <f t="shared" ref="D72:F73" si="19">+D73</f>
        <v>7500000</v>
      </c>
      <c r="E72" s="69">
        <f t="shared" si="19"/>
        <v>7500000</v>
      </c>
      <c r="F72" s="69">
        <f t="shared" si="19"/>
        <v>7500000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03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68.400000000000006" customHeight="1" x14ac:dyDescent="0.25">
      <c r="A73" s="83" t="s">
        <v>107</v>
      </c>
      <c r="B73" s="67" t="s">
        <v>6</v>
      </c>
      <c r="C73" s="68" t="s">
        <v>108</v>
      </c>
      <c r="D73" s="69">
        <f t="shared" si="19"/>
        <v>7500000</v>
      </c>
      <c r="E73" s="69">
        <f t="shared" si="19"/>
        <v>7500000</v>
      </c>
      <c r="F73" s="69">
        <f t="shared" si="19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03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82.2" customHeight="1" x14ac:dyDescent="0.25">
      <c r="A74" s="84" t="s">
        <v>109</v>
      </c>
      <c r="B74" s="67" t="s">
        <v>6</v>
      </c>
      <c r="C74" s="68" t="s">
        <v>110</v>
      </c>
      <c r="D74" s="69">
        <f t="shared" ref="D74:F74" si="20">+D75+D76</f>
        <v>7500000</v>
      </c>
      <c r="E74" s="69">
        <f t="shared" si="20"/>
        <v>7500000</v>
      </c>
      <c r="F74" s="69">
        <f t="shared" si="20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03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79.8" customHeight="1" x14ac:dyDescent="0.25">
      <c r="A75" s="84" t="s">
        <v>111</v>
      </c>
      <c r="B75" s="67" t="s">
        <v>80</v>
      </c>
      <c r="C75" s="68" t="s">
        <v>112</v>
      </c>
      <c r="D75" s="69">
        <v>7000000</v>
      </c>
      <c r="E75" s="69">
        <v>7000000</v>
      </c>
      <c r="F75" s="69">
        <v>7000000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03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4" customHeight="1" x14ac:dyDescent="0.25">
      <c r="A76" s="84" t="s">
        <v>113</v>
      </c>
      <c r="B76" s="67" t="s">
        <v>80</v>
      </c>
      <c r="C76" s="68" t="s">
        <v>114</v>
      </c>
      <c r="D76" s="69">
        <f>350000+150000</f>
        <v>500000</v>
      </c>
      <c r="E76" s="69">
        <f t="shared" ref="E76:F76" si="21">350000+150000</f>
        <v>500000</v>
      </c>
      <c r="F76" s="69">
        <f t="shared" si="21"/>
        <v>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03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93.6" customHeight="1" x14ac:dyDescent="0.25">
      <c r="A77" s="85" t="s">
        <v>303</v>
      </c>
      <c r="B77" s="16" t="s">
        <v>6</v>
      </c>
      <c r="C77" s="17" t="s">
        <v>302</v>
      </c>
      <c r="D77" s="55">
        <f>+D78</f>
        <v>10893113</v>
      </c>
      <c r="E77" s="55">
        <f t="shared" ref="E77:F77" si="22">+E78</f>
        <v>11328837</v>
      </c>
      <c r="F77" s="55">
        <f t="shared" si="22"/>
        <v>11815977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03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1.599999999999994" customHeight="1" x14ac:dyDescent="0.25">
      <c r="A78" s="85" t="s">
        <v>304</v>
      </c>
      <c r="B78" s="16" t="s">
        <v>6</v>
      </c>
      <c r="C78" s="17" t="s">
        <v>322</v>
      </c>
      <c r="D78" s="55">
        <f>+D79+D81+D83</f>
        <v>10893113</v>
      </c>
      <c r="E78" s="55">
        <f t="shared" ref="E78:F78" si="23">+E79+E81+E83</f>
        <v>11328837</v>
      </c>
      <c r="F78" s="55">
        <f t="shared" si="23"/>
        <v>11815977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03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5.2" customHeight="1" x14ac:dyDescent="0.25">
      <c r="A79" s="85" t="s">
        <v>304</v>
      </c>
      <c r="B79" s="16" t="s">
        <v>6</v>
      </c>
      <c r="C79" s="17" t="s">
        <v>307</v>
      </c>
      <c r="D79" s="55">
        <f t="shared" ref="D79:F79" si="24">+D80</f>
        <v>5897114</v>
      </c>
      <c r="E79" s="55">
        <f t="shared" si="24"/>
        <v>6132999</v>
      </c>
      <c r="F79" s="55">
        <f t="shared" si="24"/>
        <v>6396718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03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94.8" customHeight="1" x14ac:dyDescent="0.25">
      <c r="A80" s="82" t="s">
        <v>357</v>
      </c>
      <c r="B80" s="16" t="s">
        <v>78</v>
      </c>
      <c r="C80" s="17" t="s">
        <v>305</v>
      </c>
      <c r="D80" s="55">
        <f>6468845-571731</f>
        <v>5897114</v>
      </c>
      <c r="E80" s="55">
        <f>6747005-614006</f>
        <v>6132999</v>
      </c>
      <c r="F80" s="55">
        <f>7037127-640409</f>
        <v>6396718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03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1" customHeight="1" x14ac:dyDescent="0.25">
      <c r="A81" s="85" t="s">
        <v>304</v>
      </c>
      <c r="B81" s="16" t="s">
        <v>6</v>
      </c>
      <c r="C81" s="17" t="s">
        <v>308</v>
      </c>
      <c r="D81" s="55">
        <f t="shared" ref="D81:F81" si="25">+D82</f>
        <v>2292979</v>
      </c>
      <c r="E81" s="55">
        <f t="shared" si="25"/>
        <v>2384698</v>
      </c>
      <c r="F81" s="55">
        <f t="shared" si="25"/>
        <v>2487240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03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18.8" x14ac:dyDescent="0.25">
      <c r="A82" s="82" t="s">
        <v>345</v>
      </c>
      <c r="B82" s="16" t="s">
        <v>78</v>
      </c>
      <c r="C82" s="17" t="s">
        <v>306</v>
      </c>
      <c r="D82" s="55">
        <f>2350359-57380</f>
        <v>2292979</v>
      </c>
      <c r="E82" s="55">
        <f>2451425-66727</f>
        <v>2384698</v>
      </c>
      <c r="F82" s="55">
        <f>2556836-69596</f>
        <v>2487240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03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82.2" customHeight="1" x14ac:dyDescent="0.25">
      <c r="A83" s="82" t="s">
        <v>304</v>
      </c>
      <c r="B83" s="16" t="s">
        <v>6</v>
      </c>
      <c r="C83" s="66" t="s">
        <v>309</v>
      </c>
      <c r="D83" s="55">
        <f t="shared" ref="D83:F83" si="26">+D84</f>
        <v>2703020</v>
      </c>
      <c r="E83" s="55">
        <f t="shared" si="26"/>
        <v>2811140</v>
      </c>
      <c r="F83" s="55">
        <f t="shared" si="26"/>
        <v>2932019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03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94.2" customHeight="1" x14ac:dyDescent="0.25">
      <c r="A84" s="82" t="s">
        <v>346</v>
      </c>
      <c r="B84" s="16" t="s">
        <v>78</v>
      </c>
      <c r="C84" s="66" t="s">
        <v>310</v>
      </c>
      <c r="D84" s="55">
        <f>2391394+311626</f>
        <v>2703020</v>
      </c>
      <c r="E84" s="55">
        <f>2494224+316916</f>
        <v>2811140</v>
      </c>
      <c r="F84" s="55">
        <f>2601475+330544</f>
        <v>2932019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03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27" customHeight="1" x14ac:dyDescent="0.25">
      <c r="A85" s="106" t="s">
        <v>115</v>
      </c>
      <c r="B85" s="16" t="s">
        <v>6</v>
      </c>
      <c r="C85" s="17" t="s">
        <v>116</v>
      </c>
      <c r="D85" s="55">
        <f>+D86+D91</f>
        <v>34396866.5</v>
      </c>
      <c r="E85" s="55">
        <f>+E86+E91</f>
        <v>35753960.93</v>
      </c>
      <c r="F85" s="55">
        <f>+F86+F91</f>
        <v>37165339.119999997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03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6"/>
      <c r="AS85" s="6"/>
      <c r="AT85" s="3"/>
      <c r="AU85" s="3"/>
      <c r="AV85" s="3"/>
      <c r="AW85" s="3"/>
      <c r="BM85" s="3"/>
      <c r="BN85" s="3"/>
    </row>
    <row r="86" spans="1:66" s="4" customFormat="1" ht="15.6" customHeight="1" x14ac:dyDescent="0.25">
      <c r="A86" s="82" t="s">
        <v>117</v>
      </c>
      <c r="B86" s="16" t="s">
        <v>6</v>
      </c>
      <c r="C86" s="17" t="s">
        <v>118</v>
      </c>
      <c r="D86" s="71">
        <f>+D87+D88+D89</f>
        <v>33927360.5</v>
      </c>
      <c r="E86" s="71">
        <f t="shared" ref="E86:F86" si="27">+E87+E88+E89</f>
        <v>35284454.93</v>
      </c>
      <c r="F86" s="71">
        <f t="shared" si="27"/>
        <v>36695833.119999997</v>
      </c>
      <c r="G86" s="3"/>
      <c r="H86" s="3"/>
      <c r="I86" s="3"/>
      <c r="J86" s="3"/>
      <c r="K86" s="3"/>
      <c r="L86" s="107"/>
      <c r="M86" s="3"/>
      <c r="N86" s="3"/>
      <c r="O86" s="3"/>
      <c r="P86" s="3"/>
      <c r="Q86" s="3"/>
      <c r="R86" s="3"/>
      <c r="S86" s="3"/>
      <c r="T86" s="3"/>
      <c r="U86" s="3"/>
      <c r="V86" s="103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108"/>
      <c r="AN86" s="3"/>
      <c r="AO86" s="3"/>
      <c r="AP86" s="3"/>
      <c r="AQ86" s="3"/>
      <c r="AR86" s="107"/>
      <c r="AS86" s="6"/>
      <c r="AT86" s="3"/>
      <c r="AU86" s="3"/>
      <c r="AV86" s="3"/>
      <c r="AW86" s="3"/>
      <c r="BM86" s="3"/>
      <c r="BN86" s="3"/>
    </row>
    <row r="87" spans="1:66" s="4" customFormat="1" ht="28.2" customHeight="1" x14ac:dyDescent="0.25">
      <c r="A87" s="82" t="s">
        <v>347</v>
      </c>
      <c r="B87" s="16" t="s">
        <v>119</v>
      </c>
      <c r="C87" s="17" t="s">
        <v>120</v>
      </c>
      <c r="D87" s="55">
        <v>2689692.87</v>
      </c>
      <c r="E87" s="55">
        <v>2797280.59</v>
      </c>
      <c r="F87" s="55">
        <v>2909171.81</v>
      </c>
      <c r="G87" s="3"/>
      <c r="H87" s="25"/>
      <c r="I87" s="25"/>
      <c r="J87" s="25"/>
      <c r="K87" s="25"/>
      <c r="L87" s="107"/>
      <c r="M87" s="3"/>
      <c r="N87" s="3"/>
      <c r="O87" s="3"/>
      <c r="P87" s="3"/>
      <c r="Q87" s="3"/>
      <c r="R87" s="3"/>
      <c r="S87" s="3"/>
      <c r="T87" s="3"/>
      <c r="U87" s="3"/>
      <c r="V87" s="103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08"/>
      <c r="AN87" s="25"/>
      <c r="AO87" s="25"/>
      <c r="AP87" s="25"/>
      <c r="AQ87" s="25"/>
      <c r="AR87" s="107"/>
      <c r="AS87" s="6"/>
      <c r="AT87" s="3"/>
      <c r="AU87" s="3"/>
      <c r="AV87" s="3"/>
      <c r="AW87" s="3"/>
      <c r="BM87" s="57"/>
      <c r="BN87" s="3"/>
    </row>
    <row r="88" spans="1:66" s="4" customFormat="1" ht="15.6" customHeight="1" x14ac:dyDescent="0.25">
      <c r="A88" s="82" t="s">
        <v>121</v>
      </c>
      <c r="B88" s="16" t="s">
        <v>119</v>
      </c>
      <c r="C88" s="17" t="s">
        <v>122</v>
      </c>
      <c r="D88" s="55">
        <v>27893667.629999999</v>
      </c>
      <c r="E88" s="55">
        <v>29009414.34</v>
      </c>
      <c r="F88" s="55">
        <v>30169790.91</v>
      </c>
      <c r="G88" s="3"/>
      <c r="H88" s="25"/>
      <c r="I88" s="25"/>
      <c r="J88" s="25"/>
      <c r="K88" s="25"/>
      <c r="L88" s="107"/>
      <c r="M88" s="3"/>
      <c r="N88" s="3"/>
      <c r="O88" s="3"/>
      <c r="P88" s="3"/>
      <c r="Q88" s="3"/>
      <c r="R88" s="3"/>
      <c r="S88" s="3"/>
      <c r="T88" s="3"/>
      <c r="U88" s="3"/>
      <c r="V88" s="103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08"/>
      <c r="AN88" s="25"/>
      <c r="AO88" s="25"/>
      <c r="AP88" s="25"/>
      <c r="AQ88" s="25"/>
      <c r="AR88" s="107"/>
      <c r="AS88" s="6"/>
      <c r="AT88" s="3"/>
      <c r="AU88" s="3"/>
      <c r="AV88" s="3"/>
      <c r="AW88" s="3"/>
      <c r="BM88" s="57"/>
      <c r="BN88" s="3"/>
    </row>
    <row r="89" spans="1:66" s="4" customFormat="1" ht="17.399999999999999" customHeight="1" x14ac:dyDescent="0.25">
      <c r="A89" s="82" t="s">
        <v>123</v>
      </c>
      <c r="B89" s="16" t="s">
        <v>6</v>
      </c>
      <c r="C89" s="17" t="s">
        <v>124</v>
      </c>
      <c r="D89" s="55">
        <f>+D90</f>
        <v>3344000</v>
      </c>
      <c r="E89" s="55">
        <f t="shared" ref="E89:F89" si="28">+E90</f>
        <v>3477760</v>
      </c>
      <c r="F89" s="55">
        <f t="shared" si="28"/>
        <v>3616870.3999999999</v>
      </c>
      <c r="G89" s="3"/>
      <c r="H89" s="25"/>
      <c r="I89" s="25"/>
      <c r="J89" s="25"/>
      <c r="K89" s="25"/>
      <c r="L89" s="107"/>
      <c r="M89" s="3"/>
      <c r="N89" s="3"/>
      <c r="O89" s="3"/>
      <c r="P89" s="3"/>
      <c r="Q89" s="3"/>
      <c r="R89" s="3"/>
      <c r="S89" s="3"/>
      <c r="T89" s="3"/>
      <c r="U89" s="3"/>
      <c r="V89" s="103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08"/>
      <c r="AN89" s="25"/>
      <c r="AO89" s="25"/>
      <c r="AP89" s="25"/>
      <c r="AQ89" s="25"/>
      <c r="AR89" s="107"/>
      <c r="AS89" s="6"/>
      <c r="AT89" s="3"/>
      <c r="AU89" s="3"/>
      <c r="AV89" s="3"/>
      <c r="AW89" s="3"/>
      <c r="BM89" s="3"/>
      <c r="BN89" s="3"/>
    </row>
    <row r="90" spans="1:66" s="4" customFormat="1" ht="16.95" customHeight="1" x14ac:dyDescent="0.25">
      <c r="A90" s="82" t="s">
        <v>125</v>
      </c>
      <c r="B90" s="16" t="s">
        <v>119</v>
      </c>
      <c r="C90" s="17" t="s">
        <v>126</v>
      </c>
      <c r="D90" s="55">
        <v>3344000</v>
      </c>
      <c r="E90" s="55">
        <v>3477760</v>
      </c>
      <c r="F90" s="55">
        <v>3616870.3999999999</v>
      </c>
      <c r="G90" s="3"/>
      <c r="H90" s="25"/>
      <c r="I90" s="25"/>
      <c r="J90" s="25"/>
      <c r="K90" s="25"/>
      <c r="L90" s="107"/>
      <c r="M90" s="3"/>
      <c r="N90" s="3"/>
      <c r="O90" s="3"/>
      <c r="P90" s="3"/>
      <c r="Q90" s="3"/>
      <c r="R90" s="3"/>
      <c r="S90" s="3"/>
      <c r="T90" s="3"/>
      <c r="U90" s="3"/>
      <c r="V90" s="103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08"/>
      <c r="AN90" s="25"/>
      <c r="AO90" s="25"/>
      <c r="AP90" s="25"/>
      <c r="AQ90" s="25"/>
      <c r="AR90" s="107"/>
      <c r="AS90" s="6"/>
      <c r="AT90" s="3"/>
      <c r="AU90" s="3"/>
      <c r="AV90" s="3"/>
      <c r="AW90" s="3"/>
      <c r="BM90" s="57"/>
      <c r="BN90" s="3"/>
    </row>
    <row r="91" spans="1:66" s="4" customFormat="1" ht="18" customHeight="1" x14ac:dyDescent="0.25">
      <c r="A91" s="82" t="s">
        <v>127</v>
      </c>
      <c r="B91" s="16" t="s">
        <v>6</v>
      </c>
      <c r="C91" s="17" t="s">
        <v>128</v>
      </c>
      <c r="D91" s="55">
        <f t="shared" ref="D91:F92" si="29">+D92</f>
        <v>469506</v>
      </c>
      <c r="E91" s="55">
        <f t="shared" si="29"/>
        <v>469506</v>
      </c>
      <c r="F91" s="55">
        <f t="shared" si="29"/>
        <v>469506</v>
      </c>
      <c r="G91" s="3"/>
      <c r="H91" s="25"/>
      <c r="I91" s="25"/>
      <c r="J91" s="25"/>
      <c r="K91" s="25"/>
      <c r="L91" s="107"/>
      <c r="M91" s="3"/>
      <c r="N91" s="3"/>
      <c r="O91" s="3"/>
      <c r="P91" s="3"/>
      <c r="Q91" s="3"/>
      <c r="R91" s="3"/>
      <c r="S91" s="3"/>
      <c r="T91" s="3"/>
      <c r="U91" s="3"/>
      <c r="V91" s="103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25"/>
      <c r="AO91" s="25"/>
      <c r="AP91" s="25"/>
      <c r="AQ91" s="25"/>
      <c r="AR91" s="107"/>
      <c r="AS91" s="6"/>
      <c r="AT91" s="3"/>
      <c r="AU91" s="3"/>
      <c r="AV91" s="3"/>
      <c r="AW91" s="3"/>
      <c r="BM91" s="3"/>
      <c r="BN91" s="3"/>
    </row>
    <row r="92" spans="1:66" s="4" customFormat="1" ht="30" customHeight="1" x14ac:dyDescent="0.25">
      <c r="A92" s="82" t="s">
        <v>129</v>
      </c>
      <c r="B92" s="16" t="s">
        <v>6</v>
      </c>
      <c r="C92" s="17" t="s">
        <v>130</v>
      </c>
      <c r="D92" s="55">
        <f t="shared" si="29"/>
        <v>469506</v>
      </c>
      <c r="E92" s="55">
        <f t="shared" si="29"/>
        <v>469506</v>
      </c>
      <c r="F92" s="55">
        <f t="shared" si="29"/>
        <v>469506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103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44.4" customHeight="1" x14ac:dyDescent="0.25">
      <c r="A93" s="82" t="s">
        <v>131</v>
      </c>
      <c r="B93" s="16" t="s">
        <v>78</v>
      </c>
      <c r="C93" s="17" t="s">
        <v>132</v>
      </c>
      <c r="D93" s="55">
        <v>469506</v>
      </c>
      <c r="E93" s="55">
        <v>469506</v>
      </c>
      <c r="F93" s="55">
        <v>469506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03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23" customFormat="1" ht="28.2" customHeight="1" x14ac:dyDescent="0.25">
      <c r="A94" s="82" t="s">
        <v>133</v>
      </c>
      <c r="B94" s="16" t="s">
        <v>6</v>
      </c>
      <c r="C94" s="17" t="s">
        <v>134</v>
      </c>
      <c r="D94" s="55">
        <f>+D99+D95</f>
        <v>94461066.099999994</v>
      </c>
      <c r="E94" s="55">
        <f t="shared" ref="E94:F94" si="30">+E99+E95</f>
        <v>1772188</v>
      </c>
      <c r="F94" s="55">
        <f t="shared" si="30"/>
        <v>1775421</v>
      </c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3"/>
      <c r="U94" s="3"/>
      <c r="V94" s="103"/>
      <c r="W94" s="3"/>
      <c r="X94" s="3"/>
      <c r="Y94" s="22"/>
      <c r="Z94" s="22"/>
      <c r="AC94" s="21"/>
      <c r="AD94" s="21"/>
      <c r="AE94" s="21"/>
      <c r="AF94" s="21"/>
      <c r="AG94" s="21"/>
      <c r="AH94" s="21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BM94" s="22"/>
      <c r="BN94" s="22"/>
    </row>
    <row r="95" spans="1:66" s="4" customFormat="1" ht="15.6" customHeight="1" x14ac:dyDescent="0.25">
      <c r="A95" s="82" t="s">
        <v>135</v>
      </c>
      <c r="B95" s="16" t="s">
        <v>6</v>
      </c>
      <c r="C95" s="17" t="s">
        <v>136</v>
      </c>
      <c r="D95" s="55">
        <f t="shared" ref="D95:F96" si="31">+D96</f>
        <v>72296</v>
      </c>
      <c r="E95" s="55">
        <f t="shared" si="31"/>
        <v>75188</v>
      </c>
      <c r="F95" s="55">
        <f t="shared" si="31"/>
        <v>78421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03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ht="15" customHeight="1" x14ac:dyDescent="0.25">
      <c r="A96" s="82" t="s">
        <v>137</v>
      </c>
      <c r="B96" s="16" t="s">
        <v>6</v>
      </c>
      <c r="C96" s="17" t="s">
        <v>138</v>
      </c>
      <c r="D96" s="55">
        <f t="shared" si="31"/>
        <v>72296</v>
      </c>
      <c r="E96" s="55">
        <f t="shared" si="31"/>
        <v>75188</v>
      </c>
      <c r="F96" s="55">
        <f t="shared" si="31"/>
        <v>78421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03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9.4" customHeight="1" x14ac:dyDescent="0.25">
      <c r="A97" s="82" t="s">
        <v>139</v>
      </c>
      <c r="B97" s="16" t="s">
        <v>6</v>
      </c>
      <c r="C97" s="66" t="s">
        <v>140</v>
      </c>
      <c r="D97" s="55">
        <f>SUM(D98:D98)</f>
        <v>72296</v>
      </c>
      <c r="E97" s="55">
        <f>SUM(E98:E98)</f>
        <v>75188</v>
      </c>
      <c r="F97" s="55">
        <f>SUM(F98:F98)</f>
        <v>78421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03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70.8" customHeight="1" x14ac:dyDescent="0.25">
      <c r="A98" s="86" t="s">
        <v>483</v>
      </c>
      <c r="B98" s="16" t="s">
        <v>78</v>
      </c>
      <c r="C98" s="66" t="s">
        <v>141</v>
      </c>
      <c r="D98" s="55">
        <f>74106-1810</f>
        <v>72296</v>
      </c>
      <c r="E98" s="55">
        <v>75188</v>
      </c>
      <c r="F98" s="55">
        <v>78421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03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BM98" s="3"/>
      <c r="BN98" s="3"/>
    </row>
    <row r="99" spans="1:66" s="4" customFormat="1" ht="15.6" customHeight="1" x14ac:dyDescent="0.25">
      <c r="A99" s="82" t="s">
        <v>142</v>
      </c>
      <c r="B99" s="16" t="s">
        <v>6</v>
      </c>
      <c r="C99" s="17" t="s">
        <v>143</v>
      </c>
      <c r="D99" s="55">
        <f t="shared" ref="D99:F100" si="32">+D100</f>
        <v>94388770.099999994</v>
      </c>
      <c r="E99" s="55">
        <f t="shared" si="32"/>
        <v>1697000</v>
      </c>
      <c r="F99" s="55">
        <f t="shared" si="32"/>
        <v>1697000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03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t="15" customHeight="1" x14ac:dyDescent="0.25">
      <c r="A100" s="82" t="s">
        <v>144</v>
      </c>
      <c r="B100" s="16" t="s">
        <v>6</v>
      </c>
      <c r="C100" s="17" t="s">
        <v>145</v>
      </c>
      <c r="D100" s="55">
        <f>+D101</f>
        <v>94388770.099999994</v>
      </c>
      <c r="E100" s="55">
        <f t="shared" si="32"/>
        <v>1697000</v>
      </c>
      <c r="F100" s="55">
        <f t="shared" si="32"/>
        <v>1697000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03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8.2" customHeight="1" x14ac:dyDescent="0.25">
      <c r="A101" s="82" t="s">
        <v>146</v>
      </c>
      <c r="B101" s="16" t="s">
        <v>6</v>
      </c>
      <c r="C101" s="17" t="s">
        <v>147</v>
      </c>
      <c r="D101" s="55">
        <f>+D108+D109+D107+D104+D103+D106+D105+D102</f>
        <v>94388770.099999994</v>
      </c>
      <c r="E101" s="55">
        <f t="shared" ref="E101:F101" si="33">+E108+E109+E107+E104+E103+E106+E105+E102</f>
        <v>1697000</v>
      </c>
      <c r="F101" s="55">
        <f t="shared" si="33"/>
        <v>1697000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03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28.8" customHeight="1" x14ac:dyDescent="0.25">
      <c r="A102" s="106" t="s">
        <v>146</v>
      </c>
      <c r="B102" s="16" t="s">
        <v>78</v>
      </c>
      <c r="C102" s="17" t="s">
        <v>147</v>
      </c>
      <c r="D102" s="69">
        <v>5324</v>
      </c>
      <c r="E102" s="55">
        <v>0</v>
      </c>
      <c r="F102" s="55">
        <v>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03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9.4" customHeight="1" x14ac:dyDescent="0.25">
      <c r="A103" s="106" t="s">
        <v>146</v>
      </c>
      <c r="B103" s="16" t="s">
        <v>249</v>
      </c>
      <c r="C103" s="17" t="s">
        <v>147</v>
      </c>
      <c r="D103" s="69">
        <v>77012.479999999996</v>
      </c>
      <c r="E103" s="55">
        <v>0</v>
      </c>
      <c r="F103" s="55">
        <v>0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03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8.8" customHeight="1" x14ac:dyDescent="0.25">
      <c r="A104" s="106" t="s">
        <v>146</v>
      </c>
      <c r="B104" s="16" t="s">
        <v>271</v>
      </c>
      <c r="C104" s="17" t="s">
        <v>147</v>
      </c>
      <c r="D104" s="69">
        <v>80302.95</v>
      </c>
      <c r="E104" s="55">
        <v>0</v>
      </c>
      <c r="F104" s="55">
        <v>0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03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29.4" customHeight="1" x14ac:dyDescent="0.25">
      <c r="A105" s="106" t="s">
        <v>146</v>
      </c>
      <c r="B105" s="16" t="s">
        <v>212</v>
      </c>
      <c r="C105" s="17" t="s">
        <v>147</v>
      </c>
      <c r="D105" s="125">
        <v>74.069999999999993</v>
      </c>
      <c r="E105" s="55">
        <v>0</v>
      </c>
      <c r="F105" s="5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03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30" customHeight="1" x14ac:dyDescent="0.25">
      <c r="A106" s="106" t="s">
        <v>146</v>
      </c>
      <c r="B106" s="16" t="s">
        <v>462</v>
      </c>
      <c r="C106" s="17" t="s">
        <v>147</v>
      </c>
      <c r="D106" s="69">
        <v>525.97</v>
      </c>
      <c r="E106" s="55">
        <v>0</v>
      </c>
      <c r="F106" s="55">
        <v>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03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28.2" customHeight="1" x14ac:dyDescent="0.25">
      <c r="A107" s="86" t="s">
        <v>377</v>
      </c>
      <c r="B107" s="16" t="s">
        <v>80</v>
      </c>
      <c r="C107" s="17" t="s">
        <v>147</v>
      </c>
      <c r="D107" s="55">
        <f>3390428.13+2906.5</f>
        <v>3393334.63</v>
      </c>
      <c r="E107" s="55">
        <v>0</v>
      </c>
      <c r="F107" s="55">
        <v>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03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BM107" s="3"/>
      <c r="BN107" s="3"/>
    </row>
    <row r="108" spans="1:66" s="4" customFormat="1" ht="40.200000000000003" customHeight="1" x14ac:dyDescent="0.25">
      <c r="A108" s="106" t="s">
        <v>148</v>
      </c>
      <c r="B108" s="16" t="s">
        <v>80</v>
      </c>
      <c r="C108" s="17" t="s">
        <v>149</v>
      </c>
      <c r="D108" s="55">
        <f>787000+89135196</f>
        <v>89922196</v>
      </c>
      <c r="E108" s="55">
        <v>787000</v>
      </c>
      <c r="F108" s="55">
        <v>787000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03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BM108" s="3"/>
      <c r="BN108" s="3"/>
    </row>
    <row r="109" spans="1:66" s="4" customFormat="1" ht="27.6" customHeight="1" x14ac:dyDescent="0.25">
      <c r="A109" s="86" t="s">
        <v>150</v>
      </c>
      <c r="B109" s="16" t="s">
        <v>80</v>
      </c>
      <c r="C109" s="17" t="s">
        <v>151</v>
      </c>
      <c r="D109" s="55">
        <v>910000</v>
      </c>
      <c r="E109" s="55">
        <v>910000</v>
      </c>
      <c r="F109" s="55">
        <v>910000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03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BM109" s="3"/>
      <c r="BN109" s="3"/>
    </row>
    <row r="110" spans="1:66" s="23" customFormat="1" ht="28.8" customHeight="1" x14ac:dyDescent="0.25">
      <c r="A110" s="82" t="s">
        <v>152</v>
      </c>
      <c r="B110" s="16" t="s">
        <v>6</v>
      </c>
      <c r="C110" s="17" t="s">
        <v>153</v>
      </c>
      <c r="D110" s="55">
        <f>+D111+D114</f>
        <v>13791562</v>
      </c>
      <c r="E110" s="55">
        <f t="shared" ref="E110:F110" si="34">+E111+E114</f>
        <v>10470744</v>
      </c>
      <c r="F110" s="55">
        <f t="shared" si="34"/>
        <v>10721982</v>
      </c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3"/>
      <c r="U110" s="3"/>
      <c r="V110" s="103"/>
      <c r="W110" s="3"/>
      <c r="X110" s="3"/>
      <c r="Y110" s="22"/>
      <c r="Z110" s="22"/>
      <c r="AC110" s="21"/>
      <c r="AD110" s="21"/>
      <c r="AE110" s="21"/>
      <c r="AF110" s="21"/>
      <c r="AG110" s="21"/>
      <c r="AH110" s="21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BM110" s="22"/>
      <c r="BN110" s="22"/>
    </row>
    <row r="111" spans="1:66" s="4" customFormat="1" ht="69" customHeight="1" x14ac:dyDescent="0.25">
      <c r="A111" s="82" t="s">
        <v>154</v>
      </c>
      <c r="B111" s="32" t="s">
        <v>6</v>
      </c>
      <c r="C111" s="32" t="s">
        <v>155</v>
      </c>
      <c r="D111" s="55">
        <f t="shared" ref="D111:F112" si="35">+D112</f>
        <v>4628000</v>
      </c>
      <c r="E111" s="55">
        <f t="shared" si="35"/>
        <v>4628000</v>
      </c>
      <c r="F111" s="55">
        <f t="shared" si="35"/>
        <v>4628000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03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80.400000000000006" customHeight="1" x14ac:dyDescent="0.25">
      <c r="A112" s="82" t="s">
        <v>156</v>
      </c>
      <c r="B112" s="32" t="s">
        <v>6</v>
      </c>
      <c r="C112" s="32" t="s">
        <v>157</v>
      </c>
      <c r="D112" s="55">
        <f t="shared" si="35"/>
        <v>4628000</v>
      </c>
      <c r="E112" s="55">
        <f t="shared" si="35"/>
        <v>4628000</v>
      </c>
      <c r="F112" s="55">
        <f t="shared" si="35"/>
        <v>4628000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03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82.2" customHeight="1" x14ac:dyDescent="0.25">
      <c r="A113" s="82" t="s">
        <v>324</v>
      </c>
      <c r="B113" s="32" t="s">
        <v>78</v>
      </c>
      <c r="C113" s="32" t="s">
        <v>323</v>
      </c>
      <c r="D113" s="55">
        <v>4628000</v>
      </c>
      <c r="E113" s="55">
        <v>4628000</v>
      </c>
      <c r="F113" s="55">
        <v>4628000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103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28.8" customHeight="1" x14ac:dyDescent="0.25">
      <c r="A114" s="82" t="s">
        <v>158</v>
      </c>
      <c r="B114" s="32" t="s">
        <v>6</v>
      </c>
      <c r="C114" s="72" t="s">
        <v>159</v>
      </c>
      <c r="D114" s="55">
        <f>+D115+D117</f>
        <v>9163562</v>
      </c>
      <c r="E114" s="55">
        <f>+E115+E117</f>
        <v>5842744</v>
      </c>
      <c r="F114" s="55">
        <f>+F115+F117</f>
        <v>6093982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03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29.4" customHeight="1" x14ac:dyDescent="0.25">
      <c r="A115" s="82" t="s">
        <v>160</v>
      </c>
      <c r="B115" s="32" t="s">
        <v>6</v>
      </c>
      <c r="C115" s="72" t="s">
        <v>161</v>
      </c>
      <c r="D115" s="55">
        <f>+D116</f>
        <v>6755890</v>
      </c>
      <c r="E115" s="55">
        <f>+E116</f>
        <v>3375725</v>
      </c>
      <c r="F115" s="55">
        <f>+F116</f>
        <v>3520881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03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43.2" customHeight="1" x14ac:dyDescent="0.25">
      <c r="A116" s="82" t="s">
        <v>162</v>
      </c>
      <c r="B116" s="32" t="s">
        <v>78</v>
      </c>
      <c r="C116" s="72" t="s">
        <v>163</v>
      </c>
      <c r="D116" s="55">
        <f>3245890+1500000+2010000</f>
        <v>6755890</v>
      </c>
      <c r="E116" s="55">
        <v>3375725</v>
      </c>
      <c r="F116" s="55">
        <v>3520881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3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40.799999999999997" customHeight="1" x14ac:dyDescent="0.25">
      <c r="A117" s="82" t="s">
        <v>164</v>
      </c>
      <c r="B117" s="32" t="s">
        <v>6</v>
      </c>
      <c r="C117" s="72" t="s">
        <v>165</v>
      </c>
      <c r="D117" s="55">
        <f>+D118</f>
        <v>2407672</v>
      </c>
      <c r="E117" s="55">
        <f>+E118</f>
        <v>2467019</v>
      </c>
      <c r="F117" s="55">
        <f>+F118</f>
        <v>2573101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03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42.6" customHeight="1" x14ac:dyDescent="0.25">
      <c r="A118" s="82" t="s">
        <v>166</v>
      </c>
      <c r="B118" s="32" t="s">
        <v>78</v>
      </c>
      <c r="C118" s="72" t="s">
        <v>167</v>
      </c>
      <c r="D118" s="55">
        <v>2407672</v>
      </c>
      <c r="E118" s="55">
        <v>2467019</v>
      </c>
      <c r="F118" s="55">
        <v>2573101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03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6"/>
      <c r="AS118" s="6"/>
      <c r="AT118" s="3"/>
      <c r="AU118" s="3"/>
      <c r="AV118" s="3"/>
      <c r="AW118" s="3"/>
      <c r="BM118" s="3"/>
      <c r="BN118" s="3"/>
    </row>
    <row r="119" spans="1:66" s="4" customFormat="1" ht="13.2" customHeight="1" x14ac:dyDescent="0.25">
      <c r="A119" s="82" t="s">
        <v>168</v>
      </c>
      <c r="B119" s="16" t="s">
        <v>6</v>
      </c>
      <c r="C119" s="17" t="s">
        <v>169</v>
      </c>
      <c r="D119" s="55">
        <f>+D120+D144+D146+D161+D154+D164</f>
        <v>15367807.290000001</v>
      </c>
      <c r="E119" s="55">
        <f>+E120+E144+E146+E161+E154</f>
        <v>13650504</v>
      </c>
      <c r="F119" s="55">
        <f>+F120+F144+F146+F161+F154</f>
        <v>14014395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03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4"/>
      <c r="AQ119" s="3"/>
      <c r="AR119" s="6"/>
      <c r="AS119" s="6"/>
      <c r="AT119" s="3"/>
      <c r="AU119" s="3"/>
      <c r="AV119" s="3"/>
      <c r="AW119" s="3"/>
      <c r="BM119" s="3"/>
      <c r="BN119" s="3"/>
    </row>
    <row r="120" spans="1:66" s="4" customFormat="1" ht="30" customHeight="1" x14ac:dyDescent="0.25">
      <c r="A120" s="82" t="s">
        <v>170</v>
      </c>
      <c r="B120" s="16" t="s">
        <v>6</v>
      </c>
      <c r="C120" s="17" t="s">
        <v>171</v>
      </c>
      <c r="D120" s="55">
        <f>+D121+D124+D127+D134+D138+D141+D130+D132+D136</f>
        <v>4476820</v>
      </c>
      <c r="E120" s="55">
        <f t="shared" ref="E120:F120" si="36">+E121+E124+E127+E134+E138+E141+E130+E132+E136</f>
        <v>4481240</v>
      </c>
      <c r="F120" s="55">
        <f t="shared" si="36"/>
        <v>4485820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03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6"/>
      <c r="AS120" s="6"/>
      <c r="AT120" s="3"/>
      <c r="AU120" s="3"/>
      <c r="AV120" s="3"/>
      <c r="AW120" s="3"/>
      <c r="BM120" s="3"/>
      <c r="BN120" s="3"/>
    </row>
    <row r="121" spans="1:66" s="4" customFormat="1" ht="44.4" customHeight="1" x14ac:dyDescent="0.25">
      <c r="A121" s="82" t="s">
        <v>172</v>
      </c>
      <c r="B121" s="16" t="s">
        <v>6</v>
      </c>
      <c r="C121" s="66" t="s">
        <v>173</v>
      </c>
      <c r="D121" s="55">
        <f>+D122+D123</f>
        <v>32490</v>
      </c>
      <c r="E121" s="55">
        <f t="shared" ref="E121:F121" si="37">+E122+E123</f>
        <v>33280</v>
      </c>
      <c r="F121" s="55">
        <f t="shared" si="37"/>
        <v>34100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03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68.400000000000006" customHeight="1" x14ac:dyDescent="0.25">
      <c r="A122" s="82" t="s">
        <v>174</v>
      </c>
      <c r="B122" s="16" t="s">
        <v>175</v>
      </c>
      <c r="C122" s="66" t="s">
        <v>176</v>
      </c>
      <c r="D122" s="55">
        <v>19730</v>
      </c>
      <c r="E122" s="55">
        <v>20520</v>
      </c>
      <c r="F122" s="55">
        <v>21340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03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5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68.400000000000006" customHeight="1" x14ac:dyDescent="0.25">
      <c r="A123" s="82" t="s">
        <v>174</v>
      </c>
      <c r="B123" s="16" t="s">
        <v>177</v>
      </c>
      <c r="C123" s="66" t="s">
        <v>176</v>
      </c>
      <c r="D123" s="55">
        <v>12760</v>
      </c>
      <c r="E123" s="55">
        <v>12760</v>
      </c>
      <c r="F123" s="55">
        <v>12760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03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5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69" customHeight="1" x14ac:dyDescent="0.25">
      <c r="A124" s="82" t="s">
        <v>178</v>
      </c>
      <c r="B124" s="16" t="s">
        <v>6</v>
      </c>
      <c r="C124" s="66" t="s">
        <v>179</v>
      </c>
      <c r="D124" s="55">
        <f>+D125+D126</f>
        <v>505000</v>
      </c>
      <c r="E124" s="55">
        <f t="shared" ref="E124:F124" si="38">+E125+E126</f>
        <v>505660</v>
      </c>
      <c r="F124" s="55">
        <f t="shared" si="38"/>
        <v>506340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03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80.400000000000006" customHeight="1" x14ac:dyDescent="0.25">
      <c r="A125" s="82" t="s">
        <v>180</v>
      </c>
      <c r="B125" s="16" t="s">
        <v>175</v>
      </c>
      <c r="C125" s="66" t="s">
        <v>181</v>
      </c>
      <c r="D125" s="55">
        <v>16380</v>
      </c>
      <c r="E125" s="55">
        <v>17040</v>
      </c>
      <c r="F125" s="55">
        <v>17720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03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5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83.4" customHeight="1" x14ac:dyDescent="0.25">
      <c r="A126" s="82" t="s">
        <v>180</v>
      </c>
      <c r="B126" s="16" t="s">
        <v>177</v>
      </c>
      <c r="C126" s="66" t="s">
        <v>181</v>
      </c>
      <c r="D126" s="55">
        <v>488620</v>
      </c>
      <c r="E126" s="55">
        <v>488620</v>
      </c>
      <c r="F126" s="55">
        <v>488620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03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5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55.2" customHeight="1" x14ac:dyDescent="0.25">
      <c r="A127" s="82" t="s">
        <v>182</v>
      </c>
      <c r="B127" s="16" t="s">
        <v>6</v>
      </c>
      <c r="C127" s="66" t="s">
        <v>183</v>
      </c>
      <c r="D127" s="55">
        <f>+D129+D128</f>
        <v>22040</v>
      </c>
      <c r="E127" s="55">
        <f t="shared" ref="E127:F127" si="39">+E129+E128</f>
        <v>22140</v>
      </c>
      <c r="F127" s="55">
        <f t="shared" si="39"/>
        <v>22240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03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70.95" customHeight="1" x14ac:dyDescent="0.25">
      <c r="A128" s="82" t="s">
        <v>184</v>
      </c>
      <c r="B128" s="16" t="s">
        <v>175</v>
      </c>
      <c r="C128" s="66" t="s">
        <v>185</v>
      </c>
      <c r="D128" s="55">
        <v>2350</v>
      </c>
      <c r="E128" s="55">
        <v>2450</v>
      </c>
      <c r="F128" s="55">
        <v>2550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03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69" customHeight="1" x14ac:dyDescent="0.25">
      <c r="A129" s="82" t="s">
        <v>184</v>
      </c>
      <c r="B129" s="16" t="s">
        <v>177</v>
      </c>
      <c r="C129" s="66" t="s">
        <v>185</v>
      </c>
      <c r="D129" s="55">
        <v>19690</v>
      </c>
      <c r="E129" s="55">
        <v>19690</v>
      </c>
      <c r="F129" s="55">
        <v>19690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03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5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58.2" customHeight="1" x14ac:dyDescent="0.25">
      <c r="A130" s="82" t="s">
        <v>186</v>
      </c>
      <c r="B130" s="16" t="s">
        <v>6</v>
      </c>
      <c r="C130" s="66" t="s">
        <v>187</v>
      </c>
      <c r="D130" s="55">
        <f t="shared" ref="D130:F130" si="40">+D131</f>
        <v>273350</v>
      </c>
      <c r="E130" s="55">
        <f t="shared" si="40"/>
        <v>273350</v>
      </c>
      <c r="F130" s="55">
        <f t="shared" si="40"/>
        <v>273350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03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71.400000000000006" customHeight="1" x14ac:dyDescent="0.25">
      <c r="A131" s="82" t="s">
        <v>188</v>
      </c>
      <c r="B131" s="16" t="s">
        <v>177</v>
      </c>
      <c r="C131" s="66" t="s">
        <v>189</v>
      </c>
      <c r="D131" s="55">
        <v>273350</v>
      </c>
      <c r="E131" s="55">
        <v>273350</v>
      </c>
      <c r="F131" s="55">
        <v>273350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03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5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9" customHeight="1" x14ac:dyDescent="0.25">
      <c r="A132" s="82" t="s">
        <v>190</v>
      </c>
      <c r="B132" s="16" t="s">
        <v>6</v>
      </c>
      <c r="C132" s="66" t="s">
        <v>191</v>
      </c>
      <c r="D132" s="55">
        <f t="shared" ref="D132:F132" si="41">+D133</f>
        <v>821150</v>
      </c>
      <c r="E132" s="55">
        <f t="shared" si="41"/>
        <v>821150</v>
      </c>
      <c r="F132" s="55">
        <f t="shared" si="41"/>
        <v>821150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03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82.95" customHeight="1" x14ac:dyDescent="0.25">
      <c r="A133" s="82" t="s">
        <v>192</v>
      </c>
      <c r="B133" s="16" t="s">
        <v>177</v>
      </c>
      <c r="C133" s="66" t="s">
        <v>193</v>
      </c>
      <c r="D133" s="55">
        <v>821150</v>
      </c>
      <c r="E133" s="55">
        <v>821150</v>
      </c>
      <c r="F133" s="55">
        <v>821150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03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5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57.6" customHeight="1" x14ac:dyDescent="0.25">
      <c r="A134" s="82" t="s">
        <v>194</v>
      </c>
      <c r="B134" s="16" t="s">
        <v>6</v>
      </c>
      <c r="C134" s="66" t="s">
        <v>195</v>
      </c>
      <c r="D134" s="55">
        <f t="shared" ref="D134:F134" si="42">+D135</f>
        <v>45650</v>
      </c>
      <c r="E134" s="55">
        <f t="shared" si="42"/>
        <v>45650</v>
      </c>
      <c r="F134" s="55">
        <f t="shared" si="42"/>
        <v>45650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03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96" customHeight="1" x14ac:dyDescent="0.25">
      <c r="A135" s="82" t="s">
        <v>196</v>
      </c>
      <c r="B135" s="16" t="s">
        <v>177</v>
      </c>
      <c r="C135" s="66" t="s">
        <v>197</v>
      </c>
      <c r="D135" s="55">
        <v>45650</v>
      </c>
      <c r="E135" s="55">
        <v>45650</v>
      </c>
      <c r="F135" s="55">
        <v>45650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03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5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8.8" customHeight="1" x14ac:dyDescent="0.25">
      <c r="A136" s="82" t="s">
        <v>198</v>
      </c>
      <c r="B136" s="16" t="s">
        <v>6</v>
      </c>
      <c r="C136" s="66" t="s">
        <v>199</v>
      </c>
      <c r="D136" s="55">
        <f t="shared" ref="D136:F136" si="43">+D137</f>
        <v>10890</v>
      </c>
      <c r="E136" s="55">
        <f t="shared" si="43"/>
        <v>10890</v>
      </c>
      <c r="F136" s="55">
        <f t="shared" si="43"/>
        <v>10890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03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68.400000000000006" customHeight="1" x14ac:dyDescent="0.25">
      <c r="A137" s="82" t="s">
        <v>200</v>
      </c>
      <c r="B137" s="16" t="s">
        <v>177</v>
      </c>
      <c r="C137" s="66" t="s">
        <v>201</v>
      </c>
      <c r="D137" s="55">
        <v>10890</v>
      </c>
      <c r="E137" s="55">
        <v>10890</v>
      </c>
      <c r="F137" s="55">
        <v>10890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03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5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43.2" customHeight="1" x14ac:dyDescent="0.25">
      <c r="A138" s="82" t="s">
        <v>202</v>
      </c>
      <c r="B138" s="16" t="s">
        <v>6</v>
      </c>
      <c r="C138" s="66" t="s">
        <v>203</v>
      </c>
      <c r="D138" s="55">
        <f t="shared" ref="D138:F138" si="44">+D139+D140</f>
        <v>945580</v>
      </c>
      <c r="E138" s="55">
        <f t="shared" si="44"/>
        <v>946560</v>
      </c>
      <c r="F138" s="55">
        <f t="shared" si="44"/>
        <v>947580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03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72" customHeight="1" x14ac:dyDescent="0.25">
      <c r="A139" s="82" t="s">
        <v>204</v>
      </c>
      <c r="B139" s="16" t="s">
        <v>175</v>
      </c>
      <c r="C139" s="66" t="s">
        <v>205</v>
      </c>
      <c r="D139" s="55">
        <v>24550</v>
      </c>
      <c r="E139" s="55">
        <v>25530</v>
      </c>
      <c r="F139" s="55">
        <v>26550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03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5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69.599999999999994" customHeight="1" x14ac:dyDescent="0.25">
      <c r="A140" s="82" t="s">
        <v>204</v>
      </c>
      <c r="B140" s="16" t="s">
        <v>177</v>
      </c>
      <c r="C140" s="66" t="s">
        <v>205</v>
      </c>
      <c r="D140" s="55">
        <v>921030</v>
      </c>
      <c r="E140" s="55">
        <v>921030</v>
      </c>
      <c r="F140" s="55">
        <v>921030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03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5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55.2" customHeight="1" x14ac:dyDescent="0.25">
      <c r="A141" s="82" t="s">
        <v>206</v>
      </c>
      <c r="B141" s="16" t="s">
        <v>6</v>
      </c>
      <c r="C141" s="66" t="s">
        <v>207</v>
      </c>
      <c r="D141" s="55">
        <f t="shared" ref="D141:F141" si="45">+D142+D143</f>
        <v>1820670</v>
      </c>
      <c r="E141" s="55">
        <f t="shared" si="45"/>
        <v>1822560</v>
      </c>
      <c r="F141" s="55">
        <f t="shared" si="45"/>
        <v>1824520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03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84" customHeight="1" x14ac:dyDescent="0.25">
      <c r="A142" s="82" t="s">
        <v>208</v>
      </c>
      <c r="B142" s="16" t="s">
        <v>175</v>
      </c>
      <c r="C142" s="66" t="s">
        <v>209</v>
      </c>
      <c r="D142" s="55">
        <v>47140</v>
      </c>
      <c r="E142" s="55">
        <v>49030</v>
      </c>
      <c r="F142" s="55">
        <v>50990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03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5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81.599999999999994" customHeight="1" x14ac:dyDescent="0.25">
      <c r="A143" s="82" t="s">
        <v>208</v>
      </c>
      <c r="B143" s="16" t="s">
        <v>177</v>
      </c>
      <c r="C143" s="66" t="s">
        <v>209</v>
      </c>
      <c r="D143" s="55">
        <v>1773530</v>
      </c>
      <c r="E143" s="55">
        <v>1773530</v>
      </c>
      <c r="F143" s="55">
        <v>1773530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03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5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28.8" customHeight="1" x14ac:dyDescent="0.25">
      <c r="A144" s="82" t="s">
        <v>210</v>
      </c>
      <c r="B144" s="36" t="s">
        <v>6</v>
      </c>
      <c r="C144" s="37" t="s">
        <v>211</v>
      </c>
      <c r="D144" s="55">
        <f>+D145</f>
        <v>165000</v>
      </c>
      <c r="E144" s="55">
        <f>+E145</f>
        <v>165000</v>
      </c>
      <c r="F144" s="55">
        <f>+F145</f>
        <v>165000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03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57" customHeight="1" x14ac:dyDescent="0.25">
      <c r="A145" s="82" t="s">
        <v>331</v>
      </c>
      <c r="B145" s="36" t="s">
        <v>212</v>
      </c>
      <c r="C145" s="37" t="s">
        <v>213</v>
      </c>
      <c r="D145" s="55">
        <f>160000+5000</f>
        <v>165000</v>
      </c>
      <c r="E145" s="55">
        <f t="shared" ref="E145:F145" si="46">160000+5000</f>
        <v>165000</v>
      </c>
      <c r="F145" s="55">
        <f t="shared" si="46"/>
        <v>165000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03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105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96" customHeight="1" x14ac:dyDescent="0.25">
      <c r="A146" s="82" t="s">
        <v>214</v>
      </c>
      <c r="B146" s="16" t="s">
        <v>6</v>
      </c>
      <c r="C146" s="28" t="s">
        <v>332</v>
      </c>
      <c r="D146" s="55">
        <f>+D150+D147</f>
        <v>8046619.2999999998</v>
      </c>
      <c r="E146" s="55">
        <f t="shared" ref="E146:F146" si="47">+E150+E147</f>
        <v>8356082</v>
      </c>
      <c r="F146" s="55">
        <f t="shared" si="47"/>
        <v>8715393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03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55.8" customHeight="1" x14ac:dyDescent="0.25">
      <c r="A147" s="82" t="s">
        <v>371</v>
      </c>
      <c r="B147" s="16" t="s">
        <v>6</v>
      </c>
      <c r="C147" s="28" t="s">
        <v>372</v>
      </c>
      <c r="D147" s="55">
        <f>+D149+D148</f>
        <v>9583.34</v>
      </c>
      <c r="E147" s="55">
        <f t="shared" ref="E147:F147" si="48">+E149+E148</f>
        <v>0</v>
      </c>
      <c r="F147" s="55">
        <f t="shared" si="48"/>
        <v>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03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68.400000000000006" customHeight="1" x14ac:dyDescent="0.25">
      <c r="A148" s="81" t="s">
        <v>373</v>
      </c>
      <c r="B148" s="16" t="s">
        <v>78</v>
      </c>
      <c r="C148" s="66" t="s">
        <v>374</v>
      </c>
      <c r="D148" s="55">
        <v>9432.14</v>
      </c>
      <c r="E148" s="55">
        <v>0</v>
      </c>
      <c r="F148" s="55">
        <v>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03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69.599999999999994" customHeight="1" x14ac:dyDescent="0.25">
      <c r="A149" s="81" t="s">
        <v>373</v>
      </c>
      <c r="B149" s="16" t="s">
        <v>80</v>
      </c>
      <c r="C149" s="66" t="s">
        <v>374</v>
      </c>
      <c r="D149" s="55">
        <v>151.19999999999999</v>
      </c>
      <c r="E149" s="55">
        <v>0</v>
      </c>
      <c r="F149" s="55">
        <v>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03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69" customHeight="1" x14ac:dyDescent="0.25">
      <c r="A150" s="82" t="s">
        <v>215</v>
      </c>
      <c r="B150" s="16" t="s">
        <v>6</v>
      </c>
      <c r="C150" s="17" t="s">
        <v>216</v>
      </c>
      <c r="D150" s="55">
        <f>+D151+D152+D153</f>
        <v>8037035.96</v>
      </c>
      <c r="E150" s="55">
        <f t="shared" ref="E150:F150" si="49">+E151+E152+E153</f>
        <v>8356082</v>
      </c>
      <c r="F150" s="55">
        <f t="shared" si="49"/>
        <v>8715393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03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69.599999999999994" customHeight="1" x14ac:dyDescent="0.25">
      <c r="A151" s="82" t="s">
        <v>465</v>
      </c>
      <c r="B151" s="16" t="s">
        <v>78</v>
      </c>
      <c r="C151" s="17" t="s">
        <v>217</v>
      </c>
      <c r="D151" s="55">
        <f>384085-22908</f>
        <v>361177</v>
      </c>
      <c r="E151" s="55">
        <f>399448-22740</f>
        <v>376708</v>
      </c>
      <c r="F151" s="55">
        <f>416624-23718</f>
        <v>392906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03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8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73.2" customHeight="1" x14ac:dyDescent="0.25">
      <c r="A152" s="82" t="s">
        <v>464</v>
      </c>
      <c r="B152" s="16" t="s">
        <v>78</v>
      </c>
      <c r="C152" s="17" t="s">
        <v>218</v>
      </c>
      <c r="D152" s="55">
        <f>5057659+2592748</f>
        <v>7650407</v>
      </c>
      <c r="E152" s="55">
        <f>5259966+2719408</f>
        <v>7979374</v>
      </c>
      <c r="F152" s="55">
        <f>5486145+2836342</f>
        <v>8322487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03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8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58.2" customHeight="1" x14ac:dyDescent="0.25">
      <c r="A153" s="82" t="s">
        <v>463</v>
      </c>
      <c r="B153" s="16" t="s">
        <v>80</v>
      </c>
      <c r="C153" s="17" t="s">
        <v>466</v>
      </c>
      <c r="D153" s="125">
        <v>25451.96</v>
      </c>
      <c r="E153" s="55">
        <v>0</v>
      </c>
      <c r="F153" s="55">
        <v>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03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8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18.600000000000001" customHeight="1" x14ac:dyDescent="0.25">
      <c r="A154" s="87" t="s">
        <v>219</v>
      </c>
      <c r="B154" s="16" t="s">
        <v>6</v>
      </c>
      <c r="C154" s="39" t="s">
        <v>220</v>
      </c>
      <c r="D154" s="55">
        <f>+D158+D155</f>
        <v>33185.990000000005</v>
      </c>
      <c r="E154" s="55">
        <f t="shared" ref="E154:F154" si="50">+E158+E155</f>
        <v>2000</v>
      </c>
      <c r="F154" s="55">
        <f t="shared" si="50"/>
        <v>2000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03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84.6" customHeight="1" x14ac:dyDescent="0.25">
      <c r="A155" s="87" t="s">
        <v>467</v>
      </c>
      <c r="B155" s="16" t="s">
        <v>6</v>
      </c>
      <c r="C155" s="39" t="s">
        <v>468</v>
      </c>
      <c r="D155" s="55">
        <f>+D156+D157</f>
        <v>31185.99</v>
      </c>
      <c r="E155" s="55">
        <f t="shared" ref="E155:F155" si="51">+E156+E157</f>
        <v>0</v>
      </c>
      <c r="F155" s="55">
        <f t="shared" si="51"/>
        <v>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03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44.4" customHeight="1" x14ac:dyDescent="0.25">
      <c r="A156" s="87" t="s">
        <v>469</v>
      </c>
      <c r="B156" s="16" t="s">
        <v>80</v>
      </c>
      <c r="C156" s="126" t="s">
        <v>470</v>
      </c>
      <c r="D156" s="125">
        <v>17434.97</v>
      </c>
      <c r="E156" s="55">
        <v>0</v>
      </c>
      <c r="F156" s="55">
        <v>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03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57.6" customHeight="1" x14ac:dyDescent="0.25">
      <c r="A157" s="87" t="s">
        <v>471</v>
      </c>
      <c r="B157" s="16" t="s">
        <v>212</v>
      </c>
      <c r="C157" s="39" t="s">
        <v>472</v>
      </c>
      <c r="D157" s="125">
        <v>13751.02</v>
      </c>
      <c r="E157" s="55">
        <v>0</v>
      </c>
      <c r="F157" s="55">
        <v>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03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70.2" customHeight="1" x14ac:dyDescent="0.25">
      <c r="A158" s="82" t="s">
        <v>221</v>
      </c>
      <c r="B158" s="16" t="s">
        <v>6</v>
      </c>
      <c r="C158" s="17" t="s">
        <v>222</v>
      </c>
      <c r="D158" s="55">
        <f>+D159</f>
        <v>2000</v>
      </c>
      <c r="E158" s="55">
        <f t="shared" ref="E158:F158" si="52">+E159</f>
        <v>2000</v>
      </c>
      <c r="F158" s="55">
        <f t="shared" si="52"/>
        <v>2000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03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55.8" customHeight="1" x14ac:dyDescent="0.25">
      <c r="A159" s="82" t="s">
        <v>301</v>
      </c>
      <c r="B159" s="16" t="s">
        <v>6</v>
      </c>
      <c r="C159" s="17" t="s">
        <v>224</v>
      </c>
      <c r="D159" s="55">
        <f>+D160</f>
        <v>2000</v>
      </c>
      <c r="E159" s="55">
        <f t="shared" ref="E159:F159" si="53">+E160</f>
        <v>2000</v>
      </c>
      <c r="F159" s="55">
        <f t="shared" si="53"/>
        <v>2000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03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109.2" customHeight="1" x14ac:dyDescent="0.25">
      <c r="A160" s="82" t="s">
        <v>223</v>
      </c>
      <c r="B160" s="16" t="s">
        <v>348</v>
      </c>
      <c r="C160" s="17" t="s">
        <v>225</v>
      </c>
      <c r="D160" s="55">
        <v>2000</v>
      </c>
      <c r="E160" s="55">
        <v>2000</v>
      </c>
      <c r="F160" s="55">
        <v>2000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03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5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18.600000000000001" customHeight="1" x14ac:dyDescent="0.25">
      <c r="A161" s="82" t="s">
        <v>226</v>
      </c>
      <c r="B161" s="36" t="s">
        <v>6</v>
      </c>
      <c r="C161" s="37" t="s">
        <v>227</v>
      </c>
      <c r="D161" s="55">
        <f t="shared" ref="D161:F162" si="54">+D162</f>
        <v>646182</v>
      </c>
      <c r="E161" s="55">
        <f t="shared" si="54"/>
        <v>646182</v>
      </c>
      <c r="F161" s="55">
        <f t="shared" si="54"/>
        <v>646182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03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30.6" customHeight="1" x14ac:dyDescent="0.25">
      <c r="A162" s="82" t="s">
        <v>228</v>
      </c>
      <c r="B162" s="36" t="s">
        <v>6</v>
      </c>
      <c r="C162" s="37" t="s">
        <v>229</v>
      </c>
      <c r="D162" s="55">
        <f t="shared" si="54"/>
        <v>646182</v>
      </c>
      <c r="E162" s="55">
        <f t="shared" si="54"/>
        <v>646182</v>
      </c>
      <c r="F162" s="55">
        <f t="shared" si="54"/>
        <v>646182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03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0" customHeight="1" x14ac:dyDescent="0.25">
      <c r="A163" s="82" t="s">
        <v>230</v>
      </c>
      <c r="B163" s="36" t="s">
        <v>80</v>
      </c>
      <c r="C163" s="37" t="s">
        <v>231</v>
      </c>
      <c r="D163" s="55">
        <f>501000+145182</f>
        <v>646182</v>
      </c>
      <c r="E163" s="55">
        <f t="shared" ref="E163:F163" si="55">501000+145182</f>
        <v>646182</v>
      </c>
      <c r="F163" s="55">
        <f t="shared" si="55"/>
        <v>646182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03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100.8" customHeight="1" x14ac:dyDescent="0.25">
      <c r="A164" s="82" t="s">
        <v>376</v>
      </c>
      <c r="B164" s="36" t="s">
        <v>13</v>
      </c>
      <c r="C164" s="37" t="s">
        <v>375</v>
      </c>
      <c r="D164" s="55">
        <v>2000000</v>
      </c>
      <c r="E164" s="55">
        <v>0</v>
      </c>
      <c r="F164" s="55">
        <v>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03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16.2" customHeight="1" x14ac:dyDescent="0.25">
      <c r="A165" s="82" t="s">
        <v>232</v>
      </c>
      <c r="B165" s="16" t="s">
        <v>6</v>
      </c>
      <c r="C165" s="17" t="s">
        <v>233</v>
      </c>
      <c r="D165" s="55">
        <f>+D166+D169</f>
        <v>-1272427.5</v>
      </c>
      <c r="E165" s="55">
        <f t="shared" ref="E165:F165" si="56">+E166+E169</f>
        <v>494902</v>
      </c>
      <c r="F165" s="55">
        <f t="shared" si="56"/>
        <v>315169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03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19.8" customHeight="1" x14ac:dyDescent="0.25">
      <c r="A166" s="82" t="s">
        <v>234</v>
      </c>
      <c r="B166" s="16" t="s">
        <v>6</v>
      </c>
      <c r="C166" s="17" t="s">
        <v>235</v>
      </c>
      <c r="D166" s="55">
        <f t="shared" ref="D166:F167" si="57">+D167</f>
        <v>674636</v>
      </c>
      <c r="E166" s="55">
        <f t="shared" si="57"/>
        <v>494902</v>
      </c>
      <c r="F166" s="55">
        <f t="shared" si="57"/>
        <v>315169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03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20.399999999999999" customHeight="1" x14ac:dyDescent="0.25">
      <c r="A167" s="82" t="s">
        <v>236</v>
      </c>
      <c r="B167" s="16" t="s">
        <v>6</v>
      </c>
      <c r="C167" s="17" t="s">
        <v>237</v>
      </c>
      <c r="D167" s="55">
        <f t="shared" si="57"/>
        <v>674636</v>
      </c>
      <c r="E167" s="55">
        <f t="shared" si="57"/>
        <v>494902</v>
      </c>
      <c r="F167" s="55">
        <f t="shared" si="57"/>
        <v>315169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03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36.6" customHeight="1" x14ac:dyDescent="0.25">
      <c r="A168" s="106" t="s">
        <v>238</v>
      </c>
      <c r="B168" s="16" t="s">
        <v>78</v>
      </c>
      <c r="C168" s="17" t="s">
        <v>239</v>
      </c>
      <c r="D168" s="55">
        <v>674636</v>
      </c>
      <c r="E168" s="55">
        <v>494902</v>
      </c>
      <c r="F168" s="55">
        <v>315169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03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16.8" customHeight="1" x14ac:dyDescent="0.25">
      <c r="A169" s="106" t="s">
        <v>358</v>
      </c>
      <c r="B169" s="16" t="s">
        <v>6</v>
      </c>
      <c r="C169" s="17" t="s">
        <v>359</v>
      </c>
      <c r="D169" s="55">
        <f>+D170</f>
        <v>-1947063.5</v>
      </c>
      <c r="E169" s="55">
        <f t="shared" ref="E169:F169" si="58">+E170</f>
        <v>0</v>
      </c>
      <c r="F169" s="55">
        <f t="shared" si="58"/>
        <v>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03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29.4" customHeight="1" x14ac:dyDescent="0.25">
      <c r="A170" s="106" t="s">
        <v>360</v>
      </c>
      <c r="B170" s="16" t="s">
        <v>6</v>
      </c>
      <c r="C170" s="17" t="s">
        <v>361</v>
      </c>
      <c r="D170" s="55">
        <f>+D171+D172+D173+D174+D175+D176+D177+D178+D179</f>
        <v>-1947063.5</v>
      </c>
      <c r="E170" s="55">
        <f t="shared" ref="E170:F170" si="59">+E171+E172+E173+E174+E175+E176+E177+E178+E179</f>
        <v>0</v>
      </c>
      <c r="F170" s="55">
        <f t="shared" si="59"/>
        <v>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03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27.6" customHeight="1" x14ac:dyDescent="0.25">
      <c r="A171" s="81" t="s">
        <v>362</v>
      </c>
      <c r="B171" s="16" t="s">
        <v>212</v>
      </c>
      <c r="C171" s="78" t="s">
        <v>432</v>
      </c>
      <c r="D171" s="55">
        <v>-225000</v>
      </c>
      <c r="E171" s="55">
        <v>0</v>
      </c>
      <c r="F171" s="55">
        <v>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03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58.8" customHeight="1" x14ac:dyDescent="0.25">
      <c r="A172" s="81" t="s">
        <v>363</v>
      </c>
      <c r="B172" s="16" t="s">
        <v>212</v>
      </c>
      <c r="C172" s="78" t="s">
        <v>433</v>
      </c>
      <c r="D172" s="55">
        <v>-220000</v>
      </c>
      <c r="E172" s="55">
        <v>0</v>
      </c>
      <c r="F172" s="55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03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43.8" customHeight="1" x14ac:dyDescent="0.25">
      <c r="A173" s="81" t="s">
        <v>364</v>
      </c>
      <c r="B173" s="16" t="s">
        <v>212</v>
      </c>
      <c r="C173" s="78" t="s">
        <v>434</v>
      </c>
      <c r="D173" s="55">
        <f>-100000-100328.5</f>
        <v>-200328.5</v>
      </c>
      <c r="E173" s="55">
        <v>0</v>
      </c>
      <c r="F173" s="55">
        <v>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03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71.400000000000006" customHeight="1" x14ac:dyDescent="0.25">
      <c r="A174" s="81" t="s">
        <v>365</v>
      </c>
      <c r="B174" s="16" t="s">
        <v>212</v>
      </c>
      <c r="C174" s="78" t="s">
        <v>435</v>
      </c>
      <c r="D174" s="55">
        <v>-224719</v>
      </c>
      <c r="E174" s="55">
        <v>0</v>
      </c>
      <c r="F174" s="55">
        <v>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03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72" customHeight="1" x14ac:dyDescent="0.25">
      <c r="A175" s="81" t="s">
        <v>366</v>
      </c>
      <c r="B175" s="16" t="s">
        <v>212</v>
      </c>
      <c r="C175" s="78" t="s">
        <v>436</v>
      </c>
      <c r="D175" s="55">
        <v>-224719</v>
      </c>
      <c r="E175" s="55">
        <v>0</v>
      </c>
      <c r="F175" s="55">
        <v>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03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72" customHeight="1" x14ac:dyDescent="0.25">
      <c r="A176" s="81" t="s">
        <v>367</v>
      </c>
      <c r="B176" s="16" t="s">
        <v>212</v>
      </c>
      <c r="C176" s="78" t="s">
        <v>437</v>
      </c>
      <c r="D176" s="55">
        <v>-178140</v>
      </c>
      <c r="E176" s="55">
        <v>0</v>
      </c>
      <c r="F176" s="55"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03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6" s="4" customFormat="1" ht="49.2" customHeight="1" x14ac:dyDescent="0.25">
      <c r="A177" s="81" t="s">
        <v>368</v>
      </c>
      <c r="B177" s="16" t="s">
        <v>212</v>
      </c>
      <c r="C177" s="78" t="s">
        <v>438</v>
      </c>
      <c r="D177" s="55">
        <v>-224719</v>
      </c>
      <c r="E177" s="55">
        <v>0</v>
      </c>
      <c r="F177" s="55"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03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6" s="4" customFormat="1" ht="45" customHeight="1" x14ac:dyDescent="0.25">
      <c r="A178" s="81" t="s">
        <v>369</v>
      </c>
      <c r="B178" s="16" t="s">
        <v>212</v>
      </c>
      <c r="C178" s="78" t="s">
        <v>439</v>
      </c>
      <c r="D178" s="55">
        <v>-224719</v>
      </c>
      <c r="E178" s="55">
        <v>0</v>
      </c>
      <c r="F178" s="55"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03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6" s="4" customFormat="1" ht="47.4" customHeight="1" x14ac:dyDescent="0.25">
      <c r="A179" s="81" t="s">
        <v>370</v>
      </c>
      <c r="B179" s="16" t="s">
        <v>212</v>
      </c>
      <c r="C179" s="78" t="s">
        <v>440</v>
      </c>
      <c r="D179" s="55">
        <v>-224719</v>
      </c>
      <c r="E179" s="55">
        <v>0</v>
      </c>
      <c r="F179" s="55">
        <v>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03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6" s="4" customFormat="1" ht="20.399999999999999" customHeight="1" x14ac:dyDescent="0.25">
      <c r="A180" s="106" t="s">
        <v>240</v>
      </c>
      <c r="B180" s="16" t="s">
        <v>6</v>
      </c>
      <c r="C180" s="17" t="s">
        <v>241</v>
      </c>
      <c r="D180" s="55">
        <f>+D181+D256+D263</f>
        <v>2989495751.1300001</v>
      </c>
      <c r="E180" s="55">
        <f t="shared" ref="E180:F180" si="60">+E181</f>
        <v>2553427380</v>
      </c>
      <c r="F180" s="55">
        <f t="shared" si="60"/>
        <v>2289053400</v>
      </c>
      <c r="G180" s="3"/>
      <c r="H180" s="25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03"/>
      <c r="W180" s="3"/>
      <c r="X180" s="3"/>
      <c r="Y180" s="3"/>
      <c r="Z180" s="3"/>
      <c r="AB180" s="12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6" s="4" customFormat="1" ht="29.4" customHeight="1" x14ac:dyDescent="0.25">
      <c r="A181" s="88" t="s">
        <v>242</v>
      </c>
      <c r="B181" s="16" t="s">
        <v>6</v>
      </c>
      <c r="C181" s="17" t="s">
        <v>243</v>
      </c>
      <c r="D181" s="55">
        <f>+D229+D182+D187+D249</f>
        <v>2989506633.5999999</v>
      </c>
      <c r="E181" s="55">
        <f t="shared" ref="E181:F181" si="61">+E229+E182+E187+E249</f>
        <v>2553427380</v>
      </c>
      <c r="F181" s="55">
        <f t="shared" si="61"/>
        <v>2289053400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03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6" s="4" customFormat="1" ht="15.6" customHeight="1" x14ac:dyDescent="0.25">
      <c r="A182" s="88" t="s">
        <v>244</v>
      </c>
      <c r="B182" s="16" t="s">
        <v>6</v>
      </c>
      <c r="C182" s="17" t="s">
        <v>245</v>
      </c>
      <c r="D182" s="55">
        <f>+D183+D185</f>
        <v>149435200</v>
      </c>
      <c r="E182" s="55">
        <f t="shared" ref="E182:F182" si="62">+E183+E185</f>
        <v>46225700</v>
      </c>
      <c r="F182" s="55">
        <f t="shared" si="62"/>
        <v>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03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6" s="4" customFormat="1" ht="19.8" customHeight="1" x14ac:dyDescent="0.25">
      <c r="A183" s="89" t="s">
        <v>246</v>
      </c>
      <c r="B183" s="16" t="s">
        <v>6</v>
      </c>
      <c r="C183" s="28" t="s">
        <v>247</v>
      </c>
      <c r="D183" s="55">
        <f>+D184</f>
        <v>44904800</v>
      </c>
      <c r="E183" s="55">
        <f t="shared" ref="E183:F183" si="63">+E184</f>
        <v>46225700</v>
      </c>
      <c r="F183" s="55">
        <f t="shared" si="63"/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03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6" s="4" customFormat="1" ht="44.4" customHeight="1" x14ac:dyDescent="0.25">
      <c r="A184" s="89" t="s">
        <v>248</v>
      </c>
      <c r="B184" s="16" t="s">
        <v>249</v>
      </c>
      <c r="C184" s="17" t="s">
        <v>250</v>
      </c>
      <c r="D184" s="55">
        <v>44904800</v>
      </c>
      <c r="E184" s="55">
        <v>46225700</v>
      </c>
      <c r="F184" s="55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03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6" s="4" customFormat="1" ht="31.8" customHeight="1" x14ac:dyDescent="0.25">
      <c r="A185" s="82" t="s">
        <v>398</v>
      </c>
      <c r="B185" s="16" t="s">
        <v>6</v>
      </c>
      <c r="C185" s="66" t="s">
        <v>400</v>
      </c>
      <c r="D185" s="55">
        <f>+D186</f>
        <v>104530400</v>
      </c>
      <c r="E185" s="55">
        <f t="shared" ref="E185:F185" si="64">+E186</f>
        <v>0</v>
      </c>
      <c r="F185" s="55">
        <f t="shared" si="64"/>
        <v>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03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6" s="4" customFormat="1" ht="31.2" customHeight="1" x14ac:dyDescent="0.25">
      <c r="A186" s="89" t="s">
        <v>398</v>
      </c>
      <c r="B186" s="16" t="s">
        <v>249</v>
      </c>
      <c r="C186" s="17" t="s">
        <v>399</v>
      </c>
      <c r="D186" s="55">
        <v>104530400</v>
      </c>
      <c r="E186" s="55">
        <v>0</v>
      </c>
      <c r="F186" s="55">
        <v>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03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ht="31.2" customHeight="1" x14ac:dyDescent="0.25">
      <c r="A187" s="106" t="s">
        <v>251</v>
      </c>
      <c r="B187" s="16" t="s">
        <v>6</v>
      </c>
      <c r="C187" s="16" t="s">
        <v>252</v>
      </c>
      <c r="D187" s="55">
        <f>+D196+D208+D194+D200+D206+D202+D204+D198+D188+D190+D192</f>
        <v>794399233.60000002</v>
      </c>
      <c r="E187" s="55">
        <f t="shared" ref="E187:F187" si="65">+E196+E208+E194+E200+E206+E202+E204+E198+E188+E190+E192</f>
        <v>601686480</v>
      </c>
      <c r="F187" s="55">
        <f t="shared" si="65"/>
        <v>383538400</v>
      </c>
      <c r="G187" s="3"/>
      <c r="H187" s="25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03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ht="100.8" customHeight="1" x14ac:dyDescent="0.25">
      <c r="A188" s="106" t="s">
        <v>444</v>
      </c>
      <c r="B188" s="16" t="s">
        <v>6</v>
      </c>
      <c r="C188" s="16" t="s">
        <v>445</v>
      </c>
      <c r="D188" s="55">
        <f>+D189</f>
        <v>25400500</v>
      </c>
      <c r="E188" s="55">
        <f t="shared" ref="E188:F188" si="66">+E189</f>
        <v>0</v>
      </c>
      <c r="F188" s="55">
        <f t="shared" si="66"/>
        <v>0</v>
      </c>
      <c r="G188" s="3"/>
      <c r="H188" s="25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03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95.4" customHeight="1" x14ac:dyDescent="0.25">
      <c r="A189" s="106" t="s">
        <v>442</v>
      </c>
      <c r="B189" s="16" t="s">
        <v>80</v>
      </c>
      <c r="C189" s="16" t="s">
        <v>443</v>
      </c>
      <c r="D189" s="55">
        <v>25400500</v>
      </c>
      <c r="E189" s="55">
        <v>0</v>
      </c>
      <c r="F189" s="55">
        <v>0</v>
      </c>
      <c r="G189" s="3"/>
      <c r="H189" s="25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03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32.4" customHeight="1" x14ac:dyDescent="0.25">
      <c r="A190" s="106" t="s">
        <v>450</v>
      </c>
      <c r="B190" s="16" t="s">
        <v>6</v>
      </c>
      <c r="C190" s="16" t="s">
        <v>451</v>
      </c>
      <c r="D190" s="55">
        <f>+D191</f>
        <v>184748</v>
      </c>
      <c r="E190" s="55">
        <f t="shared" ref="E190:F190" si="67">+E191</f>
        <v>0</v>
      </c>
      <c r="F190" s="55">
        <f t="shared" si="67"/>
        <v>0</v>
      </c>
      <c r="G190" s="3"/>
      <c r="H190" s="25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03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44.4" customHeight="1" x14ac:dyDescent="0.25">
      <c r="A191" s="106" t="s">
        <v>448</v>
      </c>
      <c r="B191" s="16" t="s">
        <v>271</v>
      </c>
      <c r="C191" s="16" t="s">
        <v>449</v>
      </c>
      <c r="D191" s="55">
        <v>184748</v>
      </c>
      <c r="E191" s="55">
        <v>0</v>
      </c>
      <c r="F191" s="55">
        <v>0</v>
      </c>
      <c r="G191" s="3"/>
      <c r="H191" s="25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03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42" customHeight="1" x14ac:dyDescent="0.25">
      <c r="A192" s="106" t="s">
        <v>452</v>
      </c>
      <c r="B192" s="16" t="s">
        <v>6</v>
      </c>
      <c r="C192" s="16" t="s">
        <v>453</v>
      </c>
      <c r="D192" s="55">
        <f>+D193</f>
        <v>14840000</v>
      </c>
      <c r="E192" s="55">
        <f t="shared" ref="E192:F192" si="68">+E193</f>
        <v>0</v>
      </c>
      <c r="F192" s="55">
        <f t="shared" si="68"/>
        <v>0</v>
      </c>
      <c r="G192" s="3"/>
      <c r="H192" s="25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03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47.4" customHeight="1" x14ac:dyDescent="0.25">
      <c r="A193" s="106" t="s">
        <v>446</v>
      </c>
      <c r="B193" s="16" t="s">
        <v>271</v>
      </c>
      <c r="C193" s="16" t="s">
        <v>447</v>
      </c>
      <c r="D193" s="55">
        <v>14840000</v>
      </c>
      <c r="E193" s="55">
        <v>0</v>
      </c>
      <c r="F193" s="55">
        <v>0</v>
      </c>
      <c r="G193" s="3"/>
      <c r="H193" s="25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03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57" customHeight="1" x14ac:dyDescent="0.25">
      <c r="A194" s="90" t="s">
        <v>253</v>
      </c>
      <c r="B194" s="67" t="s">
        <v>6</v>
      </c>
      <c r="C194" s="67" t="s">
        <v>254</v>
      </c>
      <c r="D194" s="55">
        <f t="shared" ref="D194:F194" si="69">+D195</f>
        <v>56916500</v>
      </c>
      <c r="E194" s="55">
        <f t="shared" si="69"/>
        <v>58013200</v>
      </c>
      <c r="F194" s="55">
        <f t="shared" si="69"/>
        <v>56526400</v>
      </c>
      <c r="G194" s="3"/>
      <c r="H194" s="25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03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55.95" customHeight="1" x14ac:dyDescent="0.25">
      <c r="A195" s="90" t="s">
        <v>255</v>
      </c>
      <c r="B195" s="67" t="s">
        <v>256</v>
      </c>
      <c r="C195" s="67" t="s">
        <v>257</v>
      </c>
      <c r="D195" s="55">
        <f>57764900-848400</f>
        <v>56916500</v>
      </c>
      <c r="E195" s="55">
        <f>57915600+97600</f>
        <v>58013200</v>
      </c>
      <c r="F195" s="55">
        <f>56431200+95200</f>
        <v>56526400</v>
      </c>
      <c r="G195" s="3"/>
      <c r="H195" s="25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03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56.4" customHeight="1" x14ac:dyDescent="0.25">
      <c r="A196" s="91" t="s">
        <v>258</v>
      </c>
      <c r="B196" s="36" t="s">
        <v>6</v>
      </c>
      <c r="C196" s="36" t="s">
        <v>259</v>
      </c>
      <c r="D196" s="55">
        <f>D197</f>
        <v>2783996.86</v>
      </c>
      <c r="E196" s="55">
        <f>E197</f>
        <v>2821900</v>
      </c>
      <c r="F196" s="55">
        <f>F197</f>
        <v>4759000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03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55.2" customHeight="1" x14ac:dyDescent="0.25">
      <c r="A197" s="91" t="s">
        <v>260</v>
      </c>
      <c r="B197" s="16" t="s">
        <v>261</v>
      </c>
      <c r="C197" s="16" t="s">
        <v>262</v>
      </c>
      <c r="D197" s="55">
        <f>2784000-3.14</f>
        <v>2783996.86</v>
      </c>
      <c r="E197" s="55">
        <v>2821900</v>
      </c>
      <c r="F197" s="55">
        <v>4759000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03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26.4" x14ac:dyDescent="0.25">
      <c r="A198" s="91" t="s">
        <v>415</v>
      </c>
      <c r="B198" s="16" t="s">
        <v>6</v>
      </c>
      <c r="C198" s="16" t="s">
        <v>416</v>
      </c>
      <c r="D198" s="55">
        <f>+D199</f>
        <v>17274741.66</v>
      </c>
      <c r="E198" s="55">
        <f t="shared" ref="E198:F198" si="70">+E199</f>
        <v>0</v>
      </c>
      <c r="F198" s="55">
        <f t="shared" si="70"/>
        <v>0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103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26.4" x14ac:dyDescent="0.25">
      <c r="A199" s="91" t="s">
        <v>413</v>
      </c>
      <c r="B199" s="16" t="s">
        <v>271</v>
      </c>
      <c r="C199" s="16" t="s">
        <v>414</v>
      </c>
      <c r="D199" s="55">
        <v>17274741.66</v>
      </c>
      <c r="E199" s="55">
        <v>0</v>
      </c>
      <c r="F199" s="55">
        <v>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03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17.399999999999999" customHeight="1" x14ac:dyDescent="0.25">
      <c r="A200" s="91" t="s">
        <v>326</v>
      </c>
      <c r="B200" s="16" t="s">
        <v>6</v>
      </c>
      <c r="C200" s="16" t="s">
        <v>327</v>
      </c>
      <c r="D200" s="55">
        <f t="shared" ref="D200:F200" si="71">+D201</f>
        <v>444780</v>
      </c>
      <c r="E200" s="55">
        <f t="shared" si="71"/>
        <v>444780</v>
      </c>
      <c r="F200" s="55">
        <f t="shared" si="71"/>
        <v>445300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03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31.2" customHeight="1" x14ac:dyDescent="0.25">
      <c r="A201" s="91" t="s">
        <v>329</v>
      </c>
      <c r="B201" s="16" t="s">
        <v>261</v>
      </c>
      <c r="C201" s="16" t="s">
        <v>328</v>
      </c>
      <c r="D201" s="55">
        <f>444800-20</f>
        <v>444780</v>
      </c>
      <c r="E201" s="55">
        <f>444800-20</f>
        <v>444780</v>
      </c>
      <c r="F201" s="55">
        <v>445300</v>
      </c>
      <c r="G201" s="25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03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31.2" customHeight="1" x14ac:dyDescent="0.25">
      <c r="A202" s="91" t="s">
        <v>405</v>
      </c>
      <c r="B202" s="16" t="s">
        <v>6</v>
      </c>
      <c r="C202" s="16" t="s">
        <v>406</v>
      </c>
      <c r="D202" s="55">
        <f>+D203</f>
        <v>39167200</v>
      </c>
      <c r="E202" s="55">
        <f t="shared" ref="E202:F202" si="72">+E203</f>
        <v>0</v>
      </c>
      <c r="F202" s="55">
        <f t="shared" si="72"/>
        <v>0</v>
      </c>
      <c r="G202" s="25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103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37.799999999999997" customHeight="1" x14ac:dyDescent="0.25">
      <c r="A203" s="91" t="s">
        <v>403</v>
      </c>
      <c r="B203" s="16" t="s">
        <v>80</v>
      </c>
      <c r="C203" s="16" t="s">
        <v>404</v>
      </c>
      <c r="D203" s="55">
        <v>39167200</v>
      </c>
      <c r="E203" s="55">
        <v>0</v>
      </c>
      <c r="F203" s="55">
        <v>0</v>
      </c>
      <c r="G203" s="2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03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41.4" customHeight="1" x14ac:dyDescent="0.25">
      <c r="A204" s="91" t="s">
        <v>410</v>
      </c>
      <c r="B204" s="16" t="s">
        <v>6</v>
      </c>
      <c r="C204" s="16" t="s">
        <v>411</v>
      </c>
      <c r="D204" s="55">
        <f>+D205</f>
        <v>4832296.28</v>
      </c>
      <c r="E204" s="55">
        <f t="shared" ref="E204:F204" si="73">+E205</f>
        <v>0</v>
      </c>
      <c r="F204" s="55">
        <f t="shared" si="73"/>
        <v>0</v>
      </c>
      <c r="G204" s="25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03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36" customHeight="1" x14ac:dyDescent="0.25">
      <c r="A205" s="91" t="s">
        <v>408</v>
      </c>
      <c r="B205" s="16" t="s">
        <v>261</v>
      </c>
      <c r="C205" s="16" t="s">
        <v>409</v>
      </c>
      <c r="D205" s="55">
        <v>4832296.28</v>
      </c>
      <c r="E205" s="55">
        <v>0</v>
      </c>
      <c r="F205" s="55">
        <v>0</v>
      </c>
      <c r="G205" s="25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03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32.4" customHeight="1" x14ac:dyDescent="0.25">
      <c r="A206" s="91" t="s">
        <v>355</v>
      </c>
      <c r="B206" s="16" t="s">
        <v>6</v>
      </c>
      <c r="C206" s="16" t="s">
        <v>356</v>
      </c>
      <c r="D206" s="55">
        <f>+D207</f>
        <v>117542700</v>
      </c>
      <c r="E206" s="55">
        <f t="shared" ref="E206:F206" si="74">+E207</f>
        <v>0</v>
      </c>
      <c r="F206" s="55">
        <f t="shared" si="74"/>
        <v>0</v>
      </c>
      <c r="G206" s="25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03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30.6" customHeight="1" x14ac:dyDescent="0.25">
      <c r="A207" s="91" t="s">
        <v>353</v>
      </c>
      <c r="B207" s="16" t="s">
        <v>256</v>
      </c>
      <c r="C207" s="16" t="s">
        <v>354</v>
      </c>
      <c r="D207" s="55">
        <v>117542700</v>
      </c>
      <c r="E207" s="55">
        <v>0</v>
      </c>
      <c r="F207" s="55">
        <v>0</v>
      </c>
      <c r="G207" s="25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03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15.6" customHeight="1" x14ac:dyDescent="0.25">
      <c r="A208" s="106" t="s">
        <v>263</v>
      </c>
      <c r="B208" s="16" t="s">
        <v>6</v>
      </c>
      <c r="C208" s="32" t="s">
        <v>264</v>
      </c>
      <c r="D208" s="55">
        <f>+D209</f>
        <v>515011770.80000001</v>
      </c>
      <c r="E208" s="55">
        <f>+E209</f>
        <v>540406600</v>
      </c>
      <c r="F208" s="55">
        <f>+F209</f>
        <v>321807700</v>
      </c>
      <c r="G208" s="3"/>
      <c r="H208" s="25"/>
      <c r="I208" s="25"/>
      <c r="J208" s="25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03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7" s="4" customFormat="1" ht="18" customHeight="1" x14ac:dyDescent="0.25">
      <c r="A209" s="106" t="s">
        <v>265</v>
      </c>
      <c r="B209" s="16" t="s">
        <v>6</v>
      </c>
      <c r="C209" s="32" t="s">
        <v>266</v>
      </c>
      <c r="D209" s="55">
        <f>+D210+D211+D212+D213+D214+D215+D216+D217+D218+D220+D221+D223+D224+D225+D226+D219+D222+D228+D227</f>
        <v>515011770.80000001</v>
      </c>
      <c r="E209" s="55">
        <f t="shared" ref="E209:F209" si="75">+E210+E211+E212+E213+E214+E215+E216+E217+E218+E220+E221+E223+E224+E225+E226+E219+E222+E228+E227</f>
        <v>540406600</v>
      </c>
      <c r="F209" s="55">
        <f t="shared" si="75"/>
        <v>321807700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03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7" s="4" customFormat="1" ht="58.8" customHeight="1" x14ac:dyDescent="0.25">
      <c r="A210" s="82" t="s">
        <v>334</v>
      </c>
      <c r="B210" s="16" t="s">
        <v>261</v>
      </c>
      <c r="C210" s="32" t="s">
        <v>266</v>
      </c>
      <c r="D210" s="55">
        <f>90044700-25000000</f>
        <v>65044700</v>
      </c>
      <c r="E210" s="55">
        <f>90044700+77163900</f>
        <v>167208600</v>
      </c>
      <c r="F210" s="55">
        <v>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03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  <c r="BO210" s="62"/>
    </row>
    <row r="211" spans="1:67" s="4" customFormat="1" ht="44.4" customHeight="1" x14ac:dyDescent="0.25">
      <c r="A211" s="82" t="s">
        <v>407</v>
      </c>
      <c r="B211" s="16" t="s">
        <v>261</v>
      </c>
      <c r="C211" s="32" t="s">
        <v>266</v>
      </c>
      <c r="D211" s="55">
        <v>658040</v>
      </c>
      <c r="E211" s="55">
        <v>0</v>
      </c>
      <c r="F211" s="55">
        <v>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03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  <c r="BO211" s="62"/>
    </row>
    <row r="212" spans="1:67" s="4" customFormat="1" ht="69.599999999999994" customHeight="1" x14ac:dyDescent="0.25">
      <c r="A212" s="86" t="s">
        <v>350</v>
      </c>
      <c r="B212" s="16" t="s">
        <v>256</v>
      </c>
      <c r="C212" s="32" t="s">
        <v>266</v>
      </c>
      <c r="D212" s="58">
        <v>6953500</v>
      </c>
      <c r="E212" s="58">
        <v>24928400</v>
      </c>
      <c r="F212" s="58">
        <v>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03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7" s="4" customFormat="1" ht="69.599999999999994" customHeight="1" x14ac:dyDescent="0.25">
      <c r="A213" s="86" t="s">
        <v>267</v>
      </c>
      <c r="B213" s="16" t="s">
        <v>256</v>
      </c>
      <c r="C213" s="32" t="s">
        <v>266</v>
      </c>
      <c r="D213" s="55">
        <f>2603200+347100</f>
        <v>2950300</v>
      </c>
      <c r="E213" s="55">
        <v>2603200</v>
      </c>
      <c r="F213" s="55">
        <v>2632500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03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7" s="4" customFormat="1" ht="69" customHeight="1" x14ac:dyDescent="0.25">
      <c r="A214" s="82" t="s">
        <v>268</v>
      </c>
      <c r="B214" s="16" t="s">
        <v>256</v>
      </c>
      <c r="C214" s="32" t="s">
        <v>266</v>
      </c>
      <c r="D214" s="55">
        <f>10850300+1725900</f>
        <v>12576200</v>
      </c>
      <c r="E214" s="55">
        <f>10578500+1704100</f>
        <v>12282600</v>
      </c>
      <c r="F214" s="55">
        <f>10377400+1697000</f>
        <v>12074400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03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7" s="4" customFormat="1" ht="55.95" customHeight="1" x14ac:dyDescent="0.25">
      <c r="A215" s="82" t="s">
        <v>269</v>
      </c>
      <c r="B215" s="16" t="s">
        <v>256</v>
      </c>
      <c r="C215" s="32" t="s">
        <v>266</v>
      </c>
      <c r="D215" s="55">
        <f>5036300-73400</f>
        <v>4962900</v>
      </c>
      <c r="E215" s="55">
        <f>7601900-110700</f>
        <v>7491200</v>
      </c>
      <c r="F215" s="55">
        <f>7677500-110200</f>
        <v>7567300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03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7" s="4" customFormat="1" ht="44.4" customHeight="1" x14ac:dyDescent="0.25">
      <c r="A216" s="83" t="s">
        <v>352</v>
      </c>
      <c r="B216" s="16" t="s">
        <v>256</v>
      </c>
      <c r="C216" s="32" t="s">
        <v>266</v>
      </c>
      <c r="D216" s="55">
        <v>15000000</v>
      </c>
      <c r="E216" s="55">
        <v>23768600</v>
      </c>
      <c r="F216" s="55">
        <v>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03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7" s="4" customFormat="1" ht="81.599999999999994" customHeight="1" x14ac:dyDescent="0.25">
      <c r="A217" s="83" t="s">
        <v>402</v>
      </c>
      <c r="B217" s="16" t="s">
        <v>256</v>
      </c>
      <c r="C217" s="32" t="s">
        <v>266</v>
      </c>
      <c r="D217" s="55">
        <v>1145689</v>
      </c>
      <c r="E217" s="55">
        <v>0</v>
      </c>
      <c r="F217" s="55">
        <v>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03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7" s="4" customFormat="1" ht="95.4" customHeight="1" x14ac:dyDescent="0.25">
      <c r="A218" s="83" t="s">
        <v>417</v>
      </c>
      <c r="B218" s="16" t="s">
        <v>256</v>
      </c>
      <c r="C218" s="32" t="s">
        <v>266</v>
      </c>
      <c r="D218" s="55">
        <v>4158300</v>
      </c>
      <c r="E218" s="55">
        <v>4158300</v>
      </c>
      <c r="F218" s="55">
        <v>4205100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03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7" s="4" customFormat="1" ht="75.599999999999994" customHeight="1" x14ac:dyDescent="0.25">
      <c r="A219" s="82" t="s">
        <v>454</v>
      </c>
      <c r="B219" s="16" t="s">
        <v>256</v>
      </c>
      <c r="C219" s="32" t="s">
        <v>266</v>
      </c>
      <c r="D219" s="55">
        <v>6025300</v>
      </c>
      <c r="E219" s="55">
        <v>0</v>
      </c>
      <c r="F219" s="55"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03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7" s="4" customFormat="1" ht="137.4" customHeight="1" x14ac:dyDescent="0.25">
      <c r="A220" s="92" t="s">
        <v>333</v>
      </c>
      <c r="B220" s="16" t="s">
        <v>249</v>
      </c>
      <c r="C220" s="32" t="s">
        <v>266</v>
      </c>
      <c r="D220" s="55">
        <v>182080400</v>
      </c>
      <c r="E220" s="55">
        <v>182890800</v>
      </c>
      <c r="F220" s="55">
        <v>182907500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03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7" s="4" customFormat="1" ht="53.4" customHeight="1" x14ac:dyDescent="0.25">
      <c r="A221" s="93" t="s">
        <v>270</v>
      </c>
      <c r="B221" s="16" t="s">
        <v>271</v>
      </c>
      <c r="C221" s="32" t="s">
        <v>266</v>
      </c>
      <c r="D221" s="55">
        <v>57656800</v>
      </c>
      <c r="E221" s="55">
        <v>0</v>
      </c>
      <c r="F221" s="55"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03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7" s="4" customFormat="1" ht="67.8" customHeight="1" x14ac:dyDescent="0.25">
      <c r="A222" s="82" t="s">
        <v>455</v>
      </c>
      <c r="B222" s="16" t="s">
        <v>271</v>
      </c>
      <c r="C222" s="32" t="s">
        <v>266</v>
      </c>
      <c r="D222" s="55">
        <v>337928</v>
      </c>
      <c r="E222" s="55">
        <v>0</v>
      </c>
      <c r="F222" s="55"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03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7" s="4" customFormat="1" ht="42" customHeight="1" x14ac:dyDescent="0.25">
      <c r="A223" s="94" t="s">
        <v>401</v>
      </c>
      <c r="B223" s="16" t="s">
        <v>212</v>
      </c>
      <c r="C223" s="32" t="s">
        <v>266</v>
      </c>
      <c r="D223" s="55">
        <v>11611313.800000001</v>
      </c>
      <c r="E223" s="55">
        <v>0</v>
      </c>
      <c r="F223" s="55"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03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7" s="4" customFormat="1" ht="46.2" customHeight="1" x14ac:dyDescent="0.25">
      <c r="A224" s="86" t="s">
        <v>272</v>
      </c>
      <c r="B224" s="16" t="s">
        <v>212</v>
      </c>
      <c r="C224" s="32" t="s">
        <v>266</v>
      </c>
      <c r="D224" s="55">
        <f>10000000+5000000</f>
        <v>15000000</v>
      </c>
      <c r="E224" s="55">
        <v>12420900</v>
      </c>
      <c r="F224" s="55">
        <v>12420900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03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54" customHeight="1" x14ac:dyDescent="0.25">
      <c r="A225" s="86" t="s">
        <v>351</v>
      </c>
      <c r="B225" s="16" t="s">
        <v>80</v>
      </c>
      <c r="C225" s="32" t="s">
        <v>266</v>
      </c>
      <c r="D225" s="55">
        <v>0</v>
      </c>
      <c r="E225" s="55">
        <v>2654000</v>
      </c>
      <c r="F225" s="55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03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54" customHeight="1" x14ac:dyDescent="0.25">
      <c r="A226" s="86" t="s">
        <v>412</v>
      </c>
      <c r="B226" s="16" t="s">
        <v>80</v>
      </c>
      <c r="C226" s="32" t="s">
        <v>266</v>
      </c>
      <c r="D226" s="55">
        <v>84997600</v>
      </c>
      <c r="E226" s="55">
        <v>100000000</v>
      </c>
      <c r="F226" s="55">
        <v>100000000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03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45.6" customHeight="1" x14ac:dyDescent="0.25">
      <c r="A227" s="82" t="s">
        <v>457</v>
      </c>
      <c r="B227" s="16" t="s">
        <v>80</v>
      </c>
      <c r="C227" s="32" t="s">
        <v>266</v>
      </c>
      <c r="D227" s="55">
        <v>40340600</v>
      </c>
      <c r="E227" s="55">
        <v>0</v>
      </c>
      <c r="F227" s="55">
        <v>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03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135" customHeight="1" x14ac:dyDescent="0.25">
      <c r="A228" s="82" t="s">
        <v>456</v>
      </c>
      <c r="B228" s="16" t="s">
        <v>80</v>
      </c>
      <c r="C228" s="32" t="s">
        <v>266</v>
      </c>
      <c r="D228" s="55">
        <v>3512200</v>
      </c>
      <c r="E228" s="55">
        <v>0</v>
      </c>
      <c r="F228" s="55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03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18" customHeight="1" x14ac:dyDescent="0.25">
      <c r="A229" s="106" t="s">
        <v>273</v>
      </c>
      <c r="B229" s="16" t="s">
        <v>6</v>
      </c>
      <c r="C229" s="17" t="s">
        <v>274</v>
      </c>
      <c r="D229" s="55">
        <f>+D230+D245+D243</f>
        <v>1977407300</v>
      </c>
      <c r="E229" s="55">
        <f t="shared" ref="E229:F229" si="76">+E230+E245+E243</f>
        <v>1844243300</v>
      </c>
      <c r="F229" s="55">
        <f t="shared" si="76"/>
        <v>1844243100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03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30.6" customHeight="1" x14ac:dyDescent="0.25">
      <c r="A230" s="106" t="s">
        <v>275</v>
      </c>
      <c r="B230" s="16" t="s">
        <v>6</v>
      </c>
      <c r="C230" s="16" t="s">
        <v>276</v>
      </c>
      <c r="D230" s="55">
        <f>+D231</f>
        <v>28215800</v>
      </c>
      <c r="E230" s="55">
        <f>+E231</f>
        <v>28215800</v>
      </c>
      <c r="F230" s="55">
        <f>+F231</f>
        <v>28215800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03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1" customFormat="1" ht="30" customHeight="1" x14ac:dyDescent="0.3">
      <c r="A231" s="106" t="s">
        <v>277</v>
      </c>
      <c r="B231" s="16" t="s">
        <v>6</v>
      </c>
      <c r="C231" s="16" t="s">
        <v>278</v>
      </c>
      <c r="D231" s="55">
        <f>SUM(D232:D242)</f>
        <v>28215800</v>
      </c>
      <c r="E231" s="55">
        <f>SUM(E232:E242)</f>
        <v>28215800</v>
      </c>
      <c r="F231" s="55">
        <f>SUM(F232:F242)</f>
        <v>28215800</v>
      </c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104"/>
      <c r="W231" s="40"/>
      <c r="X231" s="40"/>
      <c r="Y231" s="40"/>
      <c r="Z231" s="40"/>
      <c r="AC231" s="42"/>
      <c r="AD231" s="42"/>
      <c r="AE231" s="42"/>
      <c r="AF231" s="42"/>
      <c r="AG231" s="42"/>
      <c r="AH231" s="42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  <c r="AV231" s="40"/>
      <c r="AW231" s="40"/>
      <c r="BM231" s="40"/>
      <c r="BN231" s="40"/>
    </row>
    <row r="232" spans="1:66" s="4" customFormat="1" ht="41.4" customHeight="1" x14ac:dyDescent="0.25">
      <c r="A232" s="83" t="s">
        <v>279</v>
      </c>
      <c r="B232" s="16" t="s">
        <v>256</v>
      </c>
      <c r="C232" s="16" t="s">
        <v>278</v>
      </c>
      <c r="D232" s="58">
        <f>13594600-784700</f>
        <v>12809900</v>
      </c>
      <c r="E232" s="58">
        <f>13594600-784700</f>
        <v>12809900</v>
      </c>
      <c r="F232" s="58">
        <f>13594600-784700</f>
        <v>12809900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03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4" customFormat="1" ht="82.2" customHeight="1" x14ac:dyDescent="0.25">
      <c r="A233" s="82" t="s">
        <v>325</v>
      </c>
      <c r="B233" s="16" t="s">
        <v>256</v>
      </c>
      <c r="C233" s="16" t="s">
        <v>278</v>
      </c>
      <c r="D233" s="58">
        <v>80000</v>
      </c>
      <c r="E233" s="58">
        <v>80000</v>
      </c>
      <c r="F233" s="58">
        <v>80000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103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AY233" s="115"/>
      <c r="AZ233" s="115"/>
      <c r="BA233" s="115"/>
      <c r="BB233" s="115"/>
      <c r="BC233" s="115"/>
      <c r="BD233" s="115"/>
      <c r="BM233" s="3"/>
      <c r="BN233" s="3"/>
    </row>
    <row r="234" spans="1:66" s="4" customFormat="1" ht="29.4" customHeight="1" x14ac:dyDescent="0.25">
      <c r="A234" s="95" t="s">
        <v>280</v>
      </c>
      <c r="B234" s="16" t="s">
        <v>256</v>
      </c>
      <c r="C234" s="16" t="s">
        <v>278</v>
      </c>
      <c r="D234" s="58">
        <f>3612000-853300</f>
        <v>2758700</v>
      </c>
      <c r="E234" s="58">
        <f>3612000-853300</f>
        <v>2758700</v>
      </c>
      <c r="F234" s="58">
        <f>3612000-853300</f>
        <v>2758700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103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AZ234" s="116"/>
      <c r="BA234" s="116"/>
      <c r="BB234" s="116"/>
      <c r="BC234" s="116"/>
      <c r="BD234" s="116"/>
      <c r="BE234" s="116"/>
      <c r="BM234" s="3"/>
      <c r="BN234" s="3"/>
    </row>
    <row r="235" spans="1:66" s="41" customFormat="1" ht="43.95" customHeight="1" x14ac:dyDescent="0.3">
      <c r="A235" s="83" t="s">
        <v>281</v>
      </c>
      <c r="B235" s="16" t="s">
        <v>212</v>
      </c>
      <c r="C235" s="16" t="s">
        <v>278</v>
      </c>
      <c r="D235" s="55">
        <f>62200+3300</f>
        <v>65500</v>
      </c>
      <c r="E235" s="55">
        <v>65500</v>
      </c>
      <c r="F235" s="55">
        <v>65500</v>
      </c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104"/>
      <c r="W235" s="40"/>
      <c r="X235" s="40"/>
      <c r="Y235" s="40"/>
      <c r="Z235" s="40"/>
      <c r="AC235" s="42"/>
      <c r="AD235" s="42"/>
      <c r="AE235" s="42"/>
      <c r="AF235" s="42"/>
      <c r="AG235" s="42"/>
      <c r="AH235" s="42"/>
      <c r="AI235" s="40"/>
      <c r="AJ235" s="40"/>
      <c r="AK235" s="40"/>
      <c r="AL235" s="40"/>
      <c r="AM235" s="40"/>
      <c r="AN235" s="40"/>
      <c r="AO235" s="40"/>
      <c r="AP235" s="40"/>
      <c r="AQ235" s="40"/>
      <c r="AR235" s="40"/>
      <c r="AS235" s="40"/>
      <c r="AT235" s="40"/>
      <c r="AU235" s="40"/>
      <c r="AV235" s="40"/>
      <c r="AW235" s="40"/>
      <c r="BM235" s="40"/>
      <c r="BN235" s="40"/>
    </row>
    <row r="236" spans="1:66" s="41" customFormat="1" ht="27" customHeight="1" x14ac:dyDescent="0.3">
      <c r="A236" s="106" t="s">
        <v>282</v>
      </c>
      <c r="B236" s="16" t="s">
        <v>212</v>
      </c>
      <c r="C236" s="16" t="s">
        <v>278</v>
      </c>
      <c r="D236" s="58">
        <v>182600</v>
      </c>
      <c r="E236" s="58">
        <v>182600</v>
      </c>
      <c r="F236" s="58">
        <v>182600</v>
      </c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104"/>
      <c r="W236" s="40"/>
      <c r="X236" s="40"/>
      <c r="Y236" s="40"/>
      <c r="Z236" s="40"/>
      <c r="AC236" s="42"/>
      <c r="AD236" s="42"/>
      <c r="AE236" s="42"/>
      <c r="AF236" s="42"/>
      <c r="AG236" s="42"/>
      <c r="AH236" s="42"/>
      <c r="AI236" s="40"/>
      <c r="AJ236" s="40"/>
      <c r="AK236" s="40"/>
      <c r="AL236" s="40"/>
      <c r="AM236" s="40"/>
      <c r="AN236" s="40"/>
      <c r="AO236" s="40"/>
      <c r="AP236" s="40"/>
      <c r="AQ236" s="40"/>
      <c r="AR236" s="40"/>
      <c r="AS236" s="40"/>
      <c r="AT236" s="40"/>
      <c r="AU236" s="40"/>
      <c r="AV236" s="40"/>
      <c r="AW236" s="40"/>
      <c r="BM236" s="40"/>
      <c r="BN236" s="40"/>
    </row>
    <row r="237" spans="1:66" s="41" customFormat="1" ht="58.2" customHeight="1" x14ac:dyDescent="0.3">
      <c r="A237" s="83" t="s">
        <v>283</v>
      </c>
      <c r="B237" s="16" t="s">
        <v>212</v>
      </c>
      <c r="C237" s="16" t="s">
        <v>278</v>
      </c>
      <c r="D237" s="60">
        <v>4120800</v>
      </c>
      <c r="E237" s="60">
        <v>4120800</v>
      </c>
      <c r="F237" s="60">
        <v>4120800</v>
      </c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104"/>
      <c r="W237" s="40"/>
      <c r="X237" s="40"/>
      <c r="Y237" s="40"/>
      <c r="Z237" s="40"/>
      <c r="AC237" s="42"/>
      <c r="AD237" s="42"/>
      <c r="AE237" s="42"/>
      <c r="AF237" s="42"/>
      <c r="AG237" s="42"/>
      <c r="AH237" s="42"/>
      <c r="AI237" s="40"/>
      <c r="AJ237" s="40"/>
      <c r="AK237" s="40"/>
      <c r="AL237" s="40"/>
      <c r="AM237" s="40"/>
      <c r="AN237" s="40"/>
      <c r="AO237" s="40"/>
      <c r="AP237" s="40"/>
      <c r="AQ237" s="40"/>
      <c r="AR237" s="40"/>
      <c r="AS237" s="40"/>
      <c r="AT237" s="40"/>
      <c r="AU237" s="40"/>
      <c r="AV237" s="40"/>
      <c r="AW237" s="40"/>
      <c r="BM237" s="40"/>
      <c r="BN237" s="40"/>
    </row>
    <row r="238" spans="1:66" s="4" customFormat="1" ht="57" customHeight="1" x14ac:dyDescent="0.25">
      <c r="A238" s="83" t="s">
        <v>284</v>
      </c>
      <c r="B238" s="16" t="s">
        <v>212</v>
      </c>
      <c r="C238" s="16" t="s">
        <v>278</v>
      </c>
      <c r="D238" s="58">
        <f>3257100+179300</f>
        <v>3436400</v>
      </c>
      <c r="E238" s="58">
        <v>3436400</v>
      </c>
      <c r="F238" s="58">
        <v>3436400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103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6" s="41" customFormat="1" ht="30.6" customHeight="1" x14ac:dyDescent="0.3">
      <c r="A239" s="106" t="s">
        <v>285</v>
      </c>
      <c r="B239" s="16" t="s">
        <v>212</v>
      </c>
      <c r="C239" s="16" t="s">
        <v>278</v>
      </c>
      <c r="D239" s="60">
        <v>1077800</v>
      </c>
      <c r="E239" s="60">
        <v>1077800</v>
      </c>
      <c r="F239" s="60">
        <v>1077800</v>
      </c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104"/>
      <c r="W239" s="40"/>
      <c r="X239" s="40"/>
      <c r="Y239" s="40"/>
      <c r="Z239" s="40"/>
      <c r="AC239" s="42"/>
      <c r="AD239" s="42"/>
      <c r="AE239" s="42"/>
      <c r="AF239" s="42"/>
      <c r="AG239" s="42"/>
      <c r="AH239" s="42"/>
      <c r="AI239" s="40"/>
      <c r="AJ239" s="40"/>
      <c r="AK239" s="40"/>
      <c r="AL239" s="40"/>
      <c r="AM239" s="40"/>
      <c r="AN239" s="40"/>
      <c r="AO239" s="40"/>
      <c r="AP239" s="40"/>
      <c r="AQ239" s="40"/>
      <c r="AR239" s="40"/>
      <c r="AS239" s="40"/>
      <c r="AT239" s="40"/>
      <c r="AU239" s="40"/>
      <c r="AV239" s="40"/>
      <c r="AW239" s="40"/>
      <c r="BM239" s="40"/>
      <c r="BN239" s="40"/>
    </row>
    <row r="240" spans="1:66" s="41" customFormat="1" ht="84.6" customHeight="1" x14ac:dyDescent="0.3">
      <c r="A240" s="106" t="s">
        <v>286</v>
      </c>
      <c r="B240" s="16" t="s">
        <v>212</v>
      </c>
      <c r="C240" s="16" t="s">
        <v>278</v>
      </c>
      <c r="D240" s="59">
        <v>700</v>
      </c>
      <c r="E240" s="59">
        <v>700</v>
      </c>
      <c r="F240" s="59">
        <v>700</v>
      </c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104"/>
      <c r="W240" s="40"/>
      <c r="X240" s="40"/>
      <c r="Y240" s="40"/>
      <c r="Z240" s="40"/>
      <c r="AC240" s="42"/>
      <c r="AD240" s="42"/>
      <c r="AE240" s="42"/>
      <c r="AF240" s="42"/>
      <c r="AG240" s="42"/>
      <c r="AH240" s="42"/>
      <c r="AI240" s="40"/>
      <c r="AJ240" s="40"/>
      <c r="AK240" s="40"/>
      <c r="AL240" s="40"/>
      <c r="AM240" s="40"/>
      <c r="AN240" s="40"/>
      <c r="AO240" s="40"/>
      <c r="AP240" s="40"/>
      <c r="AQ240" s="40"/>
      <c r="AR240" s="40"/>
      <c r="AS240" s="40"/>
      <c r="AT240" s="40"/>
      <c r="AU240" s="40"/>
      <c r="AV240" s="40"/>
      <c r="AW240" s="40"/>
      <c r="BM240" s="40"/>
      <c r="BN240" s="40"/>
    </row>
    <row r="241" spans="1:66" s="4" customFormat="1" ht="43.8" customHeight="1" x14ac:dyDescent="0.25">
      <c r="A241" s="106" t="s">
        <v>287</v>
      </c>
      <c r="B241" s="16" t="s">
        <v>212</v>
      </c>
      <c r="C241" s="16" t="s">
        <v>278</v>
      </c>
      <c r="D241" s="58">
        <f>2154300+110400</f>
        <v>2264700</v>
      </c>
      <c r="E241" s="58">
        <v>2264700</v>
      </c>
      <c r="F241" s="58">
        <v>2264700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103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57" customHeight="1" x14ac:dyDescent="0.25">
      <c r="A242" s="96" t="s">
        <v>312</v>
      </c>
      <c r="B242" s="16" t="s">
        <v>80</v>
      </c>
      <c r="C242" s="16" t="s">
        <v>278</v>
      </c>
      <c r="D242" s="58">
        <f>1320900+97800</f>
        <v>1418700</v>
      </c>
      <c r="E242" s="58">
        <f>1320900+97800</f>
        <v>1418700</v>
      </c>
      <c r="F242" s="58">
        <f>1320900+97800</f>
        <v>1418700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103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AY242" s="117"/>
      <c r="AZ242" s="117"/>
      <c r="BA242" s="117"/>
      <c r="BB242" s="117"/>
      <c r="BC242" s="117"/>
      <c r="BD242" s="117"/>
      <c r="BM242" s="3"/>
      <c r="BN242" s="3"/>
    </row>
    <row r="243" spans="1:66" s="4" customFormat="1" ht="56.4" customHeight="1" x14ac:dyDescent="0.25">
      <c r="A243" s="106" t="s">
        <v>349</v>
      </c>
      <c r="B243" s="16" t="s">
        <v>6</v>
      </c>
      <c r="C243" s="36" t="s">
        <v>288</v>
      </c>
      <c r="D243" s="58">
        <f>+D244</f>
        <v>1300</v>
      </c>
      <c r="E243" s="58">
        <f>+E244</f>
        <v>1400</v>
      </c>
      <c r="F243" s="58">
        <f>+F244</f>
        <v>1200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103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4" customFormat="1" ht="53.4" customHeight="1" x14ac:dyDescent="0.25">
      <c r="A244" s="106" t="s">
        <v>289</v>
      </c>
      <c r="B244" s="16" t="s">
        <v>212</v>
      </c>
      <c r="C244" s="36" t="s">
        <v>290</v>
      </c>
      <c r="D244" s="58">
        <v>1300</v>
      </c>
      <c r="E244" s="58">
        <v>1400</v>
      </c>
      <c r="F244" s="58">
        <v>1200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103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6" s="4" customFormat="1" ht="18" customHeight="1" x14ac:dyDescent="0.25">
      <c r="A245" s="106" t="s">
        <v>291</v>
      </c>
      <c r="B245" s="16" t="s">
        <v>6</v>
      </c>
      <c r="C245" s="17" t="s">
        <v>292</v>
      </c>
      <c r="D245" s="55">
        <f>+D246</f>
        <v>1949190200</v>
      </c>
      <c r="E245" s="55">
        <f>+E246</f>
        <v>1816026100</v>
      </c>
      <c r="F245" s="55">
        <f>+F246</f>
        <v>1816026100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103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6" s="4" customFormat="1" ht="19.2" customHeight="1" x14ac:dyDescent="0.25">
      <c r="A246" s="106" t="s">
        <v>293</v>
      </c>
      <c r="B246" s="16" t="s">
        <v>6</v>
      </c>
      <c r="C246" s="17" t="s">
        <v>294</v>
      </c>
      <c r="D246" s="55">
        <f t="shared" ref="D246:F246" si="77">+D247+D248</f>
        <v>1949190200</v>
      </c>
      <c r="E246" s="55">
        <f t="shared" si="77"/>
        <v>1816026100</v>
      </c>
      <c r="F246" s="55">
        <f t="shared" si="77"/>
        <v>1816026100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103"/>
      <c r="W246" s="3"/>
      <c r="X246" s="3"/>
      <c r="Y246" s="3"/>
      <c r="Z246" s="3"/>
      <c r="AC246" s="5"/>
      <c r="AD246" s="5"/>
      <c r="AE246" s="5"/>
      <c r="AF246" s="5"/>
      <c r="AG246" s="5"/>
      <c r="AH246" s="5"/>
      <c r="AI246" s="3"/>
      <c r="AJ246" s="3"/>
      <c r="AK246" s="3"/>
      <c r="AL246" s="3"/>
      <c r="AM246" s="3"/>
      <c r="AN246" s="3"/>
      <c r="AO246" s="3"/>
      <c r="AP246" s="3"/>
      <c r="AQ246" s="3"/>
      <c r="AR246" s="6"/>
      <c r="AS246" s="6"/>
      <c r="AT246" s="3"/>
      <c r="AU246" s="3"/>
      <c r="AV246" s="3"/>
      <c r="AW246" s="3"/>
      <c r="BM246" s="3"/>
      <c r="BN246" s="3"/>
    </row>
    <row r="247" spans="1:66" s="4" customFormat="1" ht="79.2" customHeight="1" x14ac:dyDescent="0.25">
      <c r="A247" s="83" t="s">
        <v>295</v>
      </c>
      <c r="B247" s="16" t="s">
        <v>256</v>
      </c>
      <c r="C247" s="17" t="s">
        <v>296</v>
      </c>
      <c r="D247" s="56">
        <v>929178000</v>
      </c>
      <c r="E247" s="56">
        <v>863674800</v>
      </c>
      <c r="F247" s="56">
        <v>863674800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103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6" s="4" customFormat="1" ht="57" customHeight="1" x14ac:dyDescent="0.25">
      <c r="A248" s="83" t="s">
        <v>297</v>
      </c>
      <c r="B248" s="16" t="s">
        <v>256</v>
      </c>
      <c r="C248" s="17" t="s">
        <v>294</v>
      </c>
      <c r="D248" s="56">
        <v>1020012200</v>
      </c>
      <c r="E248" s="56">
        <v>952351300</v>
      </c>
      <c r="F248" s="56">
        <v>952351300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103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BM248" s="3"/>
      <c r="BN248" s="3"/>
    </row>
    <row r="249" spans="1:66" s="4" customFormat="1" ht="14.4" customHeight="1" x14ac:dyDescent="0.25">
      <c r="A249" s="83" t="s">
        <v>418</v>
      </c>
      <c r="B249" s="16" t="s">
        <v>6</v>
      </c>
      <c r="C249" s="17" t="s">
        <v>419</v>
      </c>
      <c r="D249" s="56">
        <f>+D250+D252+D254</f>
        <v>68264900</v>
      </c>
      <c r="E249" s="56">
        <f t="shared" ref="E249:F249" si="78">+E250+E252</f>
        <v>61271900</v>
      </c>
      <c r="F249" s="56">
        <f t="shared" si="78"/>
        <v>61271900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103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BM249" s="3"/>
      <c r="BN249" s="3"/>
    </row>
    <row r="250" spans="1:66" s="4" customFormat="1" ht="68.400000000000006" customHeight="1" x14ac:dyDescent="0.25">
      <c r="A250" s="83" t="s">
        <v>425</v>
      </c>
      <c r="B250" s="16" t="s">
        <v>6</v>
      </c>
      <c r="C250" s="76" t="s">
        <v>421</v>
      </c>
      <c r="D250" s="56">
        <f>+D251</f>
        <v>5673900</v>
      </c>
      <c r="E250" s="56">
        <f t="shared" ref="E250:F250" si="79">+E251</f>
        <v>5588000</v>
      </c>
      <c r="F250" s="56">
        <f t="shared" si="79"/>
        <v>5588000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103"/>
      <c r="W250" s="3"/>
      <c r="X250" s="3"/>
      <c r="Y250" s="3"/>
      <c r="Z250" s="3"/>
      <c r="AC250" s="5"/>
      <c r="AD250" s="5"/>
      <c r="AE250" s="5"/>
      <c r="AF250" s="5"/>
      <c r="AG250" s="5"/>
      <c r="AH250" s="5"/>
      <c r="AI250" s="3"/>
      <c r="AJ250" s="3"/>
      <c r="AK250" s="3"/>
      <c r="AL250" s="3"/>
      <c r="AM250" s="3"/>
      <c r="AN250" s="3"/>
      <c r="AO250" s="3"/>
      <c r="AP250" s="3"/>
      <c r="AQ250" s="3"/>
      <c r="AR250" s="6"/>
      <c r="AS250" s="6"/>
      <c r="AT250" s="3"/>
      <c r="AU250" s="3"/>
      <c r="AV250" s="3"/>
      <c r="AW250" s="3"/>
      <c r="BM250" s="3"/>
      <c r="BN250" s="3"/>
    </row>
    <row r="251" spans="1:66" s="4" customFormat="1" ht="67.8" customHeight="1" x14ac:dyDescent="0.25">
      <c r="A251" s="83" t="s">
        <v>420</v>
      </c>
      <c r="B251" s="16" t="s">
        <v>256</v>
      </c>
      <c r="C251" s="76" t="s">
        <v>422</v>
      </c>
      <c r="D251" s="56">
        <v>5673900</v>
      </c>
      <c r="E251" s="56">
        <v>5588000</v>
      </c>
      <c r="F251" s="56">
        <v>5588000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103"/>
      <c r="W251" s="3"/>
      <c r="X251" s="3"/>
      <c r="Y251" s="3"/>
      <c r="Z251" s="3"/>
      <c r="AC251" s="5"/>
      <c r="AD251" s="5"/>
      <c r="AE251" s="5"/>
      <c r="AF251" s="5"/>
      <c r="AG251" s="5"/>
      <c r="AH251" s="5"/>
      <c r="AI251" s="3"/>
      <c r="AJ251" s="3"/>
      <c r="AK251" s="3"/>
      <c r="AL251" s="3"/>
      <c r="AM251" s="3"/>
      <c r="AN251" s="3"/>
      <c r="AO251" s="3"/>
      <c r="AP251" s="3"/>
      <c r="AQ251" s="3"/>
      <c r="AR251" s="6"/>
      <c r="AS251" s="6"/>
      <c r="AT251" s="3"/>
      <c r="AU251" s="3"/>
      <c r="AV251" s="3"/>
      <c r="AW251" s="3"/>
      <c r="BM251" s="3"/>
      <c r="BN251" s="3"/>
    </row>
    <row r="252" spans="1:66" s="4" customFormat="1" ht="98.4" customHeight="1" x14ac:dyDescent="0.25">
      <c r="A252" s="106" t="s">
        <v>427</v>
      </c>
      <c r="B252" s="16" t="s">
        <v>6</v>
      </c>
      <c r="C252" s="17" t="s">
        <v>423</v>
      </c>
      <c r="D252" s="56">
        <f>+D253</f>
        <v>55683900</v>
      </c>
      <c r="E252" s="56">
        <f t="shared" ref="E252:F252" si="80">+E253</f>
        <v>55683900</v>
      </c>
      <c r="F252" s="56">
        <f t="shared" si="80"/>
        <v>55683900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103"/>
      <c r="W252" s="3"/>
      <c r="X252" s="3"/>
      <c r="Y252" s="3"/>
      <c r="Z252" s="3"/>
      <c r="AC252" s="5"/>
      <c r="AD252" s="5"/>
      <c r="AE252" s="5"/>
      <c r="AF252" s="5"/>
      <c r="AG252" s="5"/>
      <c r="AH252" s="5"/>
      <c r="AI252" s="3"/>
      <c r="AJ252" s="3"/>
      <c r="AK252" s="3"/>
      <c r="AL252" s="3"/>
      <c r="AM252" s="3"/>
      <c r="AN252" s="3"/>
      <c r="AO252" s="3"/>
      <c r="AP252" s="3"/>
      <c r="AQ252" s="3"/>
      <c r="AR252" s="6"/>
      <c r="AS252" s="6"/>
      <c r="AT252" s="3"/>
      <c r="AU252" s="3"/>
      <c r="AV252" s="3"/>
      <c r="AW252" s="3"/>
      <c r="BM252" s="3"/>
      <c r="BN252" s="3"/>
    </row>
    <row r="253" spans="1:66" s="4" customFormat="1" ht="97.2" customHeight="1" x14ac:dyDescent="0.25">
      <c r="A253" s="106" t="s">
        <v>426</v>
      </c>
      <c r="B253" s="16" t="s">
        <v>256</v>
      </c>
      <c r="C253" s="17" t="s">
        <v>424</v>
      </c>
      <c r="D253" s="56">
        <v>55683900</v>
      </c>
      <c r="E253" s="56">
        <v>55683900</v>
      </c>
      <c r="F253" s="56">
        <v>55683900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103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6" s="4" customFormat="1" ht="57" customHeight="1" x14ac:dyDescent="0.25">
      <c r="A254" s="106" t="s">
        <v>460</v>
      </c>
      <c r="B254" s="16" t="s">
        <v>6</v>
      </c>
      <c r="C254" s="17" t="s">
        <v>461</v>
      </c>
      <c r="D254" s="56">
        <f>+D255</f>
        <v>6907100</v>
      </c>
      <c r="E254" s="56">
        <f t="shared" ref="E254:F254" si="81">+E255</f>
        <v>0</v>
      </c>
      <c r="F254" s="56">
        <f t="shared" si="81"/>
        <v>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103"/>
      <c r="W254" s="3"/>
      <c r="X254" s="3"/>
      <c r="Y254" s="3"/>
      <c r="Z254" s="3"/>
      <c r="AC254" s="5"/>
      <c r="AD254" s="5"/>
      <c r="AE254" s="5"/>
      <c r="AF254" s="5"/>
      <c r="AG254" s="5"/>
      <c r="AH254" s="5"/>
      <c r="AI254" s="3"/>
      <c r="AJ254" s="3"/>
      <c r="AK254" s="3"/>
      <c r="AL254" s="3"/>
      <c r="AM254" s="3"/>
      <c r="AN254" s="3"/>
      <c r="AO254" s="3"/>
      <c r="AP254" s="3"/>
      <c r="AQ254" s="3"/>
      <c r="AR254" s="6"/>
      <c r="AS254" s="6"/>
      <c r="AT254" s="3"/>
      <c r="AU254" s="3"/>
      <c r="AV254" s="3"/>
      <c r="AW254" s="3"/>
      <c r="BM254" s="3"/>
      <c r="BN254" s="3"/>
    </row>
    <row r="255" spans="1:66" s="4" customFormat="1" ht="66" x14ac:dyDescent="0.25">
      <c r="A255" s="106" t="s">
        <v>458</v>
      </c>
      <c r="B255" s="16" t="s">
        <v>80</v>
      </c>
      <c r="C255" s="17" t="s">
        <v>459</v>
      </c>
      <c r="D255" s="56">
        <v>6907100</v>
      </c>
      <c r="E255" s="56">
        <v>0</v>
      </c>
      <c r="F255" s="56">
        <v>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103"/>
      <c r="W255" s="3"/>
      <c r="X255" s="3"/>
      <c r="Y255" s="3"/>
      <c r="Z255" s="3"/>
      <c r="AC255" s="5"/>
      <c r="AD255" s="5"/>
      <c r="AE255" s="5"/>
      <c r="AF255" s="5"/>
      <c r="AG255" s="5"/>
      <c r="AH255" s="5"/>
      <c r="AI255" s="3"/>
      <c r="AJ255" s="3"/>
      <c r="AK255" s="3"/>
      <c r="AL255" s="3"/>
      <c r="AM255" s="3"/>
      <c r="AN255" s="3"/>
      <c r="AO255" s="3"/>
      <c r="AP255" s="3"/>
      <c r="AQ255" s="3"/>
      <c r="AR255" s="6"/>
      <c r="AS255" s="6"/>
      <c r="AT255" s="3"/>
      <c r="AU255" s="3"/>
      <c r="AV255" s="3"/>
      <c r="AW255" s="3"/>
      <c r="BM255" s="3"/>
      <c r="BN255" s="3"/>
    </row>
    <row r="256" spans="1:66" s="4" customFormat="1" ht="46.8" customHeight="1" x14ac:dyDescent="0.25">
      <c r="A256" s="97" t="s">
        <v>378</v>
      </c>
      <c r="B256" s="16" t="s">
        <v>6</v>
      </c>
      <c r="C256" s="73" t="s">
        <v>379</v>
      </c>
      <c r="D256" s="56">
        <f>+D257</f>
        <v>321944.61</v>
      </c>
      <c r="E256" s="56">
        <f t="shared" ref="E256:F256" si="82">+E257</f>
        <v>0</v>
      </c>
      <c r="F256" s="56">
        <f t="shared" si="82"/>
        <v>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103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69" customHeight="1" x14ac:dyDescent="0.25">
      <c r="A257" s="97" t="s">
        <v>380</v>
      </c>
      <c r="B257" s="16" t="s">
        <v>6</v>
      </c>
      <c r="C257" s="73" t="s">
        <v>381</v>
      </c>
      <c r="D257" s="56">
        <f>+D258</f>
        <v>321944.61</v>
      </c>
      <c r="E257" s="56">
        <f t="shared" ref="E257:F257" si="83">+E258</f>
        <v>0</v>
      </c>
      <c r="F257" s="56">
        <f t="shared" si="83"/>
        <v>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103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BM257" s="3"/>
      <c r="BN257" s="3"/>
    </row>
    <row r="258" spans="1:66" s="4" customFormat="1" ht="70.2" customHeight="1" x14ac:dyDescent="0.25">
      <c r="A258" s="97" t="s">
        <v>382</v>
      </c>
      <c r="B258" s="16" t="s">
        <v>6</v>
      </c>
      <c r="C258" s="73" t="s">
        <v>383</v>
      </c>
      <c r="D258" s="56">
        <f>+D259</f>
        <v>321944.61</v>
      </c>
      <c r="E258" s="56">
        <f t="shared" ref="E258:F258" si="84">+E259</f>
        <v>0</v>
      </c>
      <c r="F258" s="56">
        <f t="shared" si="84"/>
        <v>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103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28.2" customHeight="1" x14ac:dyDescent="0.25">
      <c r="A259" s="97" t="s">
        <v>384</v>
      </c>
      <c r="B259" s="16" t="s">
        <v>6</v>
      </c>
      <c r="C259" s="73" t="s">
        <v>385</v>
      </c>
      <c r="D259" s="56">
        <f>+D260+D261+D262</f>
        <v>321944.61</v>
      </c>
      <c r="E259" s="56">
        <f t="shared" ref="E259:F259" si="85">+E260+E261+E262</f>
        <v>0</v>
      </c>
      <c r="F259" s="56">
        <f t="shared" si="85"/>
        <v>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103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33" customHeight="1" x14ac:dyDescent="0.25">
      <c r="A260" s="81" t="s">
        <v>430</v>
      </c>
      <c r="B260" s="16" t="s">
        <v>256</v>
      </c>
      <c r="C260" s="73" t="s">
        <v>431</v>
      </c>
      <c r="D260" s="56">
        <f>9938+9885.2+61859.3+637.8+2251.32+3522.13</f>
        <v>88093.750000000015</v>
      </c>
      <c r="E260" s="56">
        <v>0</v>
      </c>
      <c r="F260" s="56"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103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28.8" customHeight="1" x14ac:dyDescent="0.25">
      <c r="A261" s="97" t="s">
        <v>387</v>
      </c>
      <c r="B261" s="16" t="s">
        <v>271</v>
      </c>
      <c r="C261" s="73" t="s">
        <v>386</v>
      </c>
      <c r="D261" s="56">
        <f>60781.97+167772.58</f>
        <v>228554.55</v>
      </c>
      <c r="E261" s="56">
        <v>0</v>
      </c>
      <c r="F261" s="56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103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30.6" customHeight="1" x14ac:dyDescent="0.25">
      <c r="A262" s="97" t="s">
        <v>387</v>
      </c>
      <c r="B262" s="16" t="s">
        <v>212</v>
      </c>
      <c r="C262" s="73" t="s">
        <v>386</v>
      </c>
      <c r="D262" s="56">
        <f>5000+63.63+232.68</f>
        <v>5296.31</v>
      </c>
      <c r="E262" s="56">
        <v>0</v>
      </c>
      <c r="F262" s="56"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103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36" customHeight="1" x14ac:dyDescent="0.25">
      <c r="A263" s="86" t="s">
        <v>388</v>
      </c>
      <c r="B263" s="16" t="s">
        <v>6</v>
      </c>
      <c r="C263" s="74" t="s">
        <v>389</v>
      </c>
      <c r="D263" s="56">
        <f>+D264</f>
        <v>-332827.08</v>
      </c>
      <c r="E263" s="56">
        <f t="shared" ref="E263:F263" si="86">+E264</f>
        <v>0</v>
      </c>
      <c r="F263" s="56">
        <f t="shared" si="86"/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103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43.8" customHeight="1" x14ac:dyDescent="0.25">
      <c r="A264" s="86" t="s">
        <v>390</v>
      </c>
      <c r="B264" s="16" t="s">
        <v>6</v>
      </c>
      <c r="C264" s="74" t="s">
        <v>391</v>
      </c>
      <c r="D264" s="56">
        <f>+D265+D266+D267+D268</f>
        <v>-332827.08</v>
      </c>
      <c r="E264" s="56">
        <f t="shared" ref="E264:F264" si="87">+E265+E266+E267+E268</f>
        <v>0</v>
      </c>
      <c r="F264" s="56">
        <f t="shared" si="87"/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103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44.4" customHeight="1" x14ac:dyDescent="0.25">
      <c r="A265" s="81" t="s">
        <v>428</v>
      </c>
      <c r="B265" s="16" t="s">
        <v>271</v>
      </c>
      <c r="C265" s="78" t="s">
        <v>429</v>
      </c>
      <c r="D265" s="56">
        <f>-60781.97-167772.58</f>
        <v>-228554.55</v>
      </c>
      <c r="E265" s="56">
        <v>0</v>
      </c>
      <c r="F265" s="56"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103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44.4" customHeight="1" x14ac:dyDescent="0.25">
      <c r="A266" s="98" t="s">
        <v>392</v>
      </c>
      <c r="B266" s="16" t="s">
        <v>256</v>
      </c>
      <c r="C266" s="75" t="s">
        <v>393</v>
      </c>
      <c r="D266" s="56">
        <f>-9938-9885.2-61859.3</f>
        <v>-81682.5</v>
      </c>
      <c r="E266" s="56">
        <v>0</v>
      </c>
      <c r="F266" s="56"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103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" customFormat="1" ht="44.4" customHeight="1" x14ac:dyDescent="0.25">
      <c r="A267" s="98" t="s">
        <v>392</v>
      </c>
      <c r="B267" s="16" t="s">
        <v>212</v>
      </c>
      <c r="C267" s="75" t="s">
        <v>393</v>
      </c>
      <c r="D267" s="56">
        <f>-12293.07-5000-5000-63.63-232.68</f>
        <v>-22589.38</v>
      </c>
      <c r="E267" s="56">
        <v>0</v>
      </c>
      <c r="F267" s="56"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103"/>
      <c r="W267" s="3"/>
      <c r="X267" s="3"/>
      <c r="Y267" s="3"/>
      <c r="Z267" s="3"/>
      <c r="AC267" s="5"/>
      <c r="AD267" s="5"/>
      <c r="AE267" s="5"/>
      <c r="AF267" s="5"/>
      <c r="AG267" s="5"/>
      <c r="AH267" s="5"/>
      <c r="AI267" s="3"/>
      <c r="AJ267" s="3"/>
      <c r="AK267" s="3"/>
      <c r="AL267" s="3"/>
      <c r="AM267" s="3"/>
      <c r="AN267" s="3"/>
      <c r="AO267" s="3"/>
      <c r="AP267" s="3"/>
      <c r="AQ267" s="3"/>
      <c r="AR267" s="6"/>
      <c r="AS267" s="6"/>
      <c r="AT267" s="3"/>
      <c r="AU267" s="3"/>
      <c r="AV267" s="3"/>
      <c r="AW267" s="3"/>
      <c r="BM267" s="3"/>
      <c r="BN267" s="3"/>
    </row>
    <row r="268" spans="1:66" s="4" customFormat="1" ht="44.4" customHeight="1" x14ac:dyDescent="0.25">
      <c r="A268" s="98" t="s">
        <v>392</v>
      </c>
      <c r="B268" s="16" t="s">
        <v>80</v>
      </c>
      <c r="C268" s="75" t="s">
        <v>393</v>
      </c>
      <c r="D268" s="56">
        <v>-0.65</v>
      </c>
      <c r="E268" s="56">
        <v>0</v>
      </c>
      <c r="F268" s="56"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103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6" customFormat="1" ht="18" customHeight="1" x14ac:dyDescent="0.25">
      <c r="A269" s="106" t="s">
        <v>298</v>
      </c>
      <c r="B269" s="16"/>
      <c r="C269" s="17"/>
      <c r="D269" s="55">
        <f>+D8+D180</f>
        <v>4308028112.5200005</v>
      </c>
      <c r="E269" s="55">
        <f>+E8+E180</f>
        <v>3738570926.9300003</v>
      </c>
      <c r="F269" s="55">
        <f>+F8+F180</f>
        <v>3516413671.1199999</v>
      </c>
      <c r="V269" s="43"/>
      <c r="AC269" s="5"/>
      <c r="AD269" s="44"/>
      <c r="AE269" s="5"/>
      <c r="AF269" s="5"/>
      <c r="AG269" s="5"/>
      <c r="AH269" s="5"/>
    </row>
    <row r="270" spans="1:66" s="48" customFormat="1" x14ac:dyDescent="0.25">
      <c r="A270" s="45"/>
      <c r="B270" s="45"/>
      <c r="C270" s="46"/>
      <c r="D270" s="45"/>
      <c r="E270" s="45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BM270" s="47"/>
      <c r="BN270" s="47"/>
    </row>
    <row r="271" spans="1:66" x14ac:dyDescent="0.25">
      <c r="B271" s="49"/>
      <c r="D271" s="61"/>
      <c r="E271" s="61"/>
    </row>
    <row r="272" spans="1:66" ht="17.399999999999999" x14ac:dyDescent="0.3">
      <c r="A272" s="99"/>
      <c r="B272" s="49"/>
      <c r="D272" s="118"/>
      <c r="E272" s="118"/>
      <c r="J272" s="119"/>
      <c r="K272" s="119"/>
    </row>
    <row r="273" spans="1:11" ht="25.2" customHeight="1" x14ac:dyDescent="0.3">
      <c r="A273" s="120" t="s">
        <v>299</v>
      </c>
      <c r="B273" s="120"/>
      <c r="C273" s="52"/>
      <c r="D273" s="121" t="s">
        <v>335</v>
      </c>
      <c r="E273" s="121"/>
      <c r="F273" s="121"/>
    </row>
    <row r="274" spans="1:11" ht="17.399999999999999" x14ac:dyDescent="0.3">
      <c r="A274" s="100"/>
      <c r="B274" s="102"/>
      <c r="C274" s="52"/>
      <c r="D274" s="53"/>
      <c r="E274" s="53"/>
    </row>
    <row r="275" spans="1:11" ht="17.399999999999999" x14ac:dyDescent="0.3">
      <c r="A275" s="101"/>
      <c r="B275" s="53"/>
      <c r="C275" s="54"/>
      <c r="D275" s="53"/>
      <c r="E275" s="53"/>
      <c r="J275" s="119"/>
      <c r="K275" s="119"/>
    </row>
    <row r="276" spans="1:11" ht="17.399999999999999" x14ac:dyDescent="0.3">
      <c r="A276" s="114" t="s">
        <v>300</v>
      </c>
      <c r="B276" s="114"/>
      <c r="C276" s="54"/>
      <c r="D276" s="121" t="s">
        <v>336</v>
      </c>
      <c r="E276" s="121"/>
      <c r="F276" s="121"/>
    </row>
  </sheetData>
  <mergeCells count="25">
    <mergeCell ref="BK1:BL3"/>
    <mergeCell ref="D3:F3"/>
    <mergeCell ref="A276:B276"/>
    <mergeCell ref="AR86:AR91"/>
    <mergeCell ref="AY233:BD233"/>
    <mergeCell ref="AZ234:BE234"/>
    <mergeCell ref="AY242:BD242"/>
    <mergeCell ref="D272:E272"/>
    <mergeCell ref="J272:K272"/>
    <mergeCell ref="A273:B273"/>
    <mergeCell ref="J275:K275"/>
    <mergeCell ref="D273:F273"/>
    <mergeCell ref="D276:F276"/>
    <mergeCell ref="T8:V8"/>
    <mergeCell ref="T10:V10"/>
    <mergeCell ref="AM19:AM27"/>
    <mergeCell ref="L86:L91"/>
    <mergeCell ref="AM86:AM90"/>
    <mergeCell ref="D1:F2"/>
    <mergeCell ref="A6:A7"/>
    <mergeCell ref="B6:C6"/>
    <mergeCell ref="D6:D7"/>
    <mergeCell ref="E6:E7"/>
    <mergeCell ref="F6:F7"/>
    <mergeCell ref="A4:F4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2023(июнь)</vt:lpstr>
      <vt:lpstr>'Прил 1 на 2023(июнь)'!Заголовки_для_печати</vt:lpstr>
      <vt:lpstr>'Прил 1 на 2023(июнь)'!Область_печати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2023-06-08T04:19:23Z</dcterms:modified>
</cp:coreProperties>
</file>