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Лист1!$7:$8</definedName>
  </definedNames>
  <calcPr calcId="145621"/>
</workbook>
</file>

<file path=xl/calcChain.xml><?xml version="1.0" encoding="utf-8"?>
<calcChain xmlns="http://schemas.openxmlformats.org/spreadsheetml/2006/main">
  <c r="D276" i="1" l="1"/>
  <c r="D41" i="1"/>
  <c r="D40" i="1" s="1"/>
  <c r="D27" i="1" s="1"/>
  <c r="D28" i="1"/>
  <c r="D16" i="1"/>
  <c r="D11" i="1"/>
  <c r="D10" i="1" s="1"/>
  <c r="D15" i="1"/>
  <c r="D14" i="1"/>
  <c r="D12" i="1"/>
  <c r="D300" i="1"/>
  <c r="D299" i="1"/>
  <c r="D298" i="1"/>
  <c r="F296" i="1"/>
  <c r="F295" i="1" s="1"/>
  <c r="E296" i="1"/>
  <c r="D296" i="1"/>
  <c r="D295" i="1" s="1"/>
  <c r="E295" i="1"/>
  <c r="D294" i="1"/>
  <c r="D293" i="1"/>
  <c r="F291" i="1"/>
  <c r="F290" i="1" s="1"/>
  <c r="E291" i="1"/>
  <c r="D291" i="1"/>
  <c r="D290" i="1" s="1"/>
  <c r="D289" i="1" s="1"/>
  <c r="D288" i="1" s="1"/>
  <c r="E290" i="1"/>
  <c r="E289" i="1" s="1"/>
  <c r="F289" i="1"/>
  <c r="F288" i="1" s="1"/>
  <c r="E288" i="1"/>
  <c r="D287" i="1"/>
  <c r="D286" i="1" s="1"/>
  <c r="F286" i="1"/>
  <c r="E286" i="1"/>
  <c r="E285" i="1" s="1"/>
  <c r="F285" i="1"/>
  <c r="D285" i="1"/>
  <c r="F283" i="1"/>
  <c r="E283" i="1"/>
  <c r="D283" i="1"/>
  <c r="D282" i="1"/>
  <c r="D281" i="1" s="1"/>
  <c r="F281" i="1"/>
  <c r="E281" i="1"/>
  <c r="F280" i="1"/>
  <c r="F279" i="1" s="1"/>
  <c r="F276" i="1" s="1"/>
  <c r="E280" i="1"/>
  <c r="D280" i="1"/>
  <c r="D279" i="1" s="1"/>
  <c r="E279" i="1"/>
  <c r="F277" i="1"/>
  <c r="E277" i="1"/>
  <c r="D277" i="1"/>
  <c r="E276" i="1"/>
  <c r="F275" i="1"/>
  <c r="E275" i="1"/>
  <c r="D275" i="1"/>
  <c r="D273" i="1" s="1"/>
  <c r="D272" i="1" s="1"/>
  <c r="F274" i="1"/>
  <c r="E274" i="1"/>
  <c r="E273" i="1" s="1"/>
  <c r="D274" i="1"/>
  <c r="F273" i="1"/>
  <c r="F272" i="1" s="1"/>
  <c r="E272" i="1"/>
  <c r="F270" i="1"/>
  <c r="E270" i="1"/>
  <c r="D270" i="1"/>
  <c r="D269" i="1"/>
  <c r="D268" i="1"/>
  <c r="D266" i="1"/>
  <c r="D265" i="1"/>
  <c r="D264" i="1"/>
  <c r="D263" i="1"/>
  <c r="D262" i="1"/>
  <c r="D259" i="1"/>
  <c r="D258" i="1" s="1"/>
  <c r="F258" i="1"/>
  <c r="E258" i="1"/>
  <c r="E257" i="1" s="1"/>
  <c r="F257" i="1"/>
  <c r="D257" i="1"/>
  <c r="D256" i="1"/>
  <c r="F255" i="1"/>
  <c r="E255" i="1"/>
  <c r="D255" i="1"/>
  <c r="E254" i="1"/>
  <c r="E211" i="1" s="1"/>
  <c r="E210" i="1" s="1"/>
  <c r="D253" i="1"/>
  <c r="D252" i="1"/>
  <c r="E251" i="1"/>
  <c r="F250" i="1"/>
  <c r="E250" i="1"/>
  <c r="D250" i="1"/>
  <c r="D246" i="1"/>
  <c r="D240" i="1"/>
  <c r="F239" i="1"/>
  <c r="F234" i="1" s="1"/>
  <c r="E239" i="1"/>
  <c r="D239" i="1"/>
  <c r="F238" i="1"/>
  <c r="E238" i="1"/>
  <c r="D238" i="1"/>
  <c r="D237" i="1"/>
  <c r="D236" i="1"/>
  <c r="D235" i="1"/>
  <c r="E234" i="1"/>
  <c r="E233" i="1" s="1"/>
  <c r="F233" i="1"/>
  <c r="F231" i="1"/>
  <c r="E231" i="1"/>
  <c r="D231" i="1"/>
  <c r="D230" i="1"/>
  <c r="D229" i="1" s="1"/>
  <c r="F229" i="1"/>
  <c r="E229" i="1"/>
  <c r="D228" i="1"/>
  <c r="D227" i="1" s="1"/>
  <c r="F227" i="1"/>
  <c r="E227" i="1"/>
  <c r="F225" i="1"/>
  <c r="E225" i="1"/>
  <c r="D225" i="1"/>
  <c r="F224" i="1"/>
  <c r="E224" i="1"/>
  <c r="F223" i="1"/>
  <c r="E223" i="1"/>
  <c r="E216" i="1" s="1"/>
  <c r="D223" i="1"/>
  <c r="F222" i="1"/>
  <c r="F221" i="1" s="1"/>
  <c r="E222" i="1"/>
  <c r="D222" i="1"/>
  <c r="D221" i="1" s="1"/>
  <c r="E221" i="1"/>
  <c r="F219" i="1"/>
  <c r="E219" i="1"/>
  <c r="D219" i="1"/>
  <c r="D218" i="1"/>
  <c r="F217" i="1"/>
  <c r="E217" i="1"/>
  <c r="D217" i="1"/>
  <c r="D215" i="1"/>
  <c r="D213" i="1" s="1"/>
  <c r="F213" i="1"/>
  <c r="E213" i="1"/>
  <c r="E212" i="1" s="1"/>
  <c r="F212" i="1"/>
  <c r="D212" i="1"/>
  <c r="F194" i="1"/>
  <c r="E194" i="1"/>
  <c r="E193" i="1" s="1"/>
  <c r="D194" i="1"/>
  <c r="F193" i="1"/>
  <c r="D193" i="1"/>
  <c r="D192" i="1"/>
  <c r="F191" i="1"/>
  <c r="F190" i="1" s="1"/>
  <c r="E191" i="1"/>
  <c r="D191" i="1"/>
  <c r="D190" i="1" s="1"/>
  <c r="D189" i="1" s="1"/>
  <c r="E190" i="1"/>
  <c r="E189" i="1" s="1"/>
  <c r="F189" i="1"/>
  <c r="D188" i="1"/>
  <c r="F187" i="1"/>
  <c r="F186" i="1" s="1"/>
  <c r="E187" i="1"/>
  <c r="D187" i="1"/>
  <c r="D186" i="1" s="1"/>
  <c r="E186" i="1"/>
  <c r="F184" i="1"/>
  <c r="E184" i="1"/>
  <c r="D184" i="1"/>
  <c r="F180" i="1"/>
  <c r="E180" i="1"/>
  <c r="E179" i="1" s="1"/>
  <c r="E172" i="1" s="1"/>
  <c r="D180" i="1"/>
  <c r="F179" i="1"/>
  <c r="D179" i="1"/>
  <c r="D172" i="1" s="1"/>
  <c r="D178" i="1"/>
  <c r="F176" i="1"/>
  <c r="E176" i="1"/>
  <c r="D176" i="1"/>
  <c r="F173" i="1"/>
  <c r="E173" i="1"/>
  <c r="D173" i="1"/>
  <c r="F172" i="1"/>
  <c r="D171" i="1"/>
  <c r="D169" i="1"/>
  <c r="D168" i="1"/>
  <c r="F167" i="1"/>
  <c r="E167" i="1"/>
  <c r="D167" i="1"/>
  <c r="D166" i="1"/>
  <c r="F163" i="1"/>
  <c r="E163" i="1"/>
  <c r="D163" i="1"/>
  <c r="E162" i="1"/>
  <c r="D161" i="1"/>
  <c r="D160" i="1" s="1"/>
  <c r="F160" i="1"/>
  <c r="E160" i="1"/>
  <c r="D159" i="1"/>
  <c r="D158" i="1"/>
  <c r="F157" i="1"/>
  <c r="E157" i="1"/>
  <c r="D157" i="1"/>
  <c r="D156" i="1"/>
  <c r="D155" i="1"/>
  <c r="D154" i="1" s="1"/>
  <c r="F154" i="1"/>
  <c r="E154" i="1"/>
  <c r="D153" i="1"/>
  <c r="D152" i="1" s="1"/>
  <c r="F152" i="1"/>
  <c r="E152" i="1"/>
  <c r="D151" i="1"/>
  <c r="D150" i="1" s="1"/>
  <c r="F150" i="1"/>
  <c r="E150" i="1"/>
  <c r="E132" i="1" s="1"/>
  <c r="E131" i="1" s="1"/>
  <c r="D149" i="1"/>
  <c r="D148" i="1" s="1"/>
  <c r="F148" i="1"/>
  <c r="E148" i="1"/>
  <c r="D147" i="1"/>
  <c r="D146" i="1" s="1"/>
  <c r="F146" i="1"/>
  <c r="E146" i="1"/>
  <c r="D145" i="1"/>
  <c r="D144" i="1" s="1"/>
  <c r="F144" i="1"/>
  <c r="E144" i="1"/>
  <c r="D143" i="1"/>
  <c r="D142" i="1" s="1"/>
  <c r="F142" i="1"/>
  <c r="E142" i="1"/>
  <c r="D141" i="1"/>
  <c r="D140" i="1"/>
  <c r="F139" i="1"/>
  <c r="E139" i="1"/>
  <c r="D139" i="1"/>
  <c r="D138" i="1"/>
  <c r="D137" i="1"/>
  <c r="D136" i="1" s="1"/>
  <c r="F136" i="1"/>
  <c r="E136" i="1"/>
  <c r="D135" i="1"/>
  <c r="D134" i="1"/>
  <c r="F133" i="1"/>
  <c r="F132" i="1" s="1"/>
  <c r="E133" i="1"/>
  <c r="D133" i="1"/>
  <c r="D132" i="1" s="1"/>
  <c r="D130" i="1"/>
  <c r="F129" i="1"/>
  <c r="E129" i="1"/>
  <c r="D129" i="1"/>
  <c r="D128" i="1"/>
  <c r="F127" i="1"/>
  <c r="F126" i="1" s="1"/>
  <c r="E127" i="1"/>
  <c r="D127" i="1"/>
  <c r="D126" i="1" s="1"/>
  <c r="E126" i="1"/>
  <c r="D125" i="1"/>
  <c r="D124" i="1" s="1"/>
  <c r="F124" i="1"/>
  <c r="E124" i="1"/>
  <c r="E123" i="1" s="1"/>
  <c r="F123" i="1"/>
  <c r="F122" i="1" s="1"/>
  <c r="D123" i="1"/>
  <c r="D122" i="1" s="1"/>
  <c r="E122" i="1"/>
  <c r="D121" i="1"/>
  <c r="D115" i="1"/>
  <c r="F114" i="1"/>
  <c r="F113" i="1" s="1"/>
  <c r="E114" i="1"/>
  <c r="D114" i="1"/>
  <c r="D113" i="1" s="1"/>
  <c r="E113" i="1"/>
  <c r="E112" i="1" s="1"/>
  <c r="F112" i="1"/>
  <c r="D112" i="1"/>
  <c r="D111" i="1"/>
  <c r="F110" i="1"/>
  <c r="F109" i="1" s="1"/>
  <c r="E110" i="1"/>
  <c r="D110" i="1"/>
  <c r="D109" i="1" s="1"/>
  <c r="D108" i="1" s="1"/>
  <c r="E109" i="1"/>
  <c r="E108" i="1" s="1"/>
  <c r="F108" i="1"/>
  <c r="E107" i="1"/>
  <c r="F105" i="1"/>
  <c r="F104" i="1" s="1"/>
  <c r="E105" i="1"/>
  <c r="D105" i="1"/>
  <c r="D104" i="1" s="1"/>
  <c r="E104" i="1"/>
  <c r="F101" i="1"/>
  <c r="F98" i="1" s="1"/>
  <c r="E101" i="1"/>
  <c r="D101" i="1"/>
  <c r="D100" i="1"/>
  <c r="D99" i="1"/>
  <c r="D98" i="1" s="1"/>
  <c r="E98" i="1"/>
  <c r="E97" i="1" s="1"/>
  <c r="F97" i="1"/>
  <c r="D97" i="1"/>
  <c r="D96" i="1"/>
  <c r="F95" i="1"/>
  <c r="E95" i="1"/>
  <c r="D95" i="1"/>
  <c r="D94" i="1"/>
  <c r="F93" i="1"/>
  <c r="E93" i="1"/>
  <c r="D93" i="1"/>
  <c r="D92" i="1"/>
  <c r="F91" i="1"/>
  <c r="F90" i="1" s="1"/>
  <c r="E91" i="1"/>
  <c r="D91" i="1"/>
  <c r="D90" i="1" s="1"/>
  <c r="D89" i="1" s="1"/>
  <c r="D83" i="1" s="1"/>
  <c r="E90" i="1"/>
  <c r="E89" i="1" s="1"/>
  <c r="F89" i="1"/>
  <c r="D88" i="1"/>
  <c r="D87" i="1"/>
  <c r="D86" i="1" s="1"/>
  <c r="F86" i="1"/>
  <c r="E86" i="1"/>
  <c r="E85" i="1" s="1"/>
  <c r="F85" i="1"/>
  <c r="F84" i="1" s="1"/>
  <c r="F83" i="1" s="1"/>
  <c r="D85" i="1"/>
  <c r="D84" i="1" s="1"/>
  <c r="E84" i="1"/>
  <c r="E83" i="1" s="1"/>
  <c r="D82" i="1"/>
  <c r="F81" i="1"/>
  <c r="F80" i="1" s="1"/>
  <c r="E81" i="1"/>
  <c r="D81" i="1"/>
  <c r="D80" i="1" s="1"/>
  <c r="E80" i="1"/>
  <c r="F78" i="1"/>
  <c r="E78" i="1"/>
  <c r="D78" i="1"/>
  <c r="F76" i="1"/>
  <c r="E76" i="1"/>
  <c r="E75" i="1" s="1"/>
  <c r="D76" i="1"/>
  <c r="F75" i="1"/>
  <c r="D75" i="1"/>
  <c r="F73" i="1"/>
  <c r="E73" i="1"/>
  <c r="E72" i="1" s="1"/>
  <c r="D73" i="1"/>
  <c r="F72" i="1"/>
  <c r="D72" i="1"/>
  <c r="D71" i="1"/>
  <c r="F70" i="1"/>
  <c r="F69" i="1" s="1"/>
  <c r="E70" i="1"/>
  <c r="D70" i="1"/>
  <c r="D69" i="1" s="1"/>
  <c r="E69" i="1"/>
  <c r="D68" i="1"/>
  <c r="D67" i="1" s="1"/>
  <c r="D66" i="1" s="1"/>
  <c r="F67" i="1"/>
  <c r="E67" i="1"/>
  <c r="E66" i="1" s="1"/>
  <c r="F66" i="1"/>
  <c r="D65" i="1"/>
  <c r="F64" i="1"/>
  <c r="F63" i="1" s="1"/>
  <c r="E64" i="1"/>
  <c r="D64" i="1"/>
  <c r="D63" i="1" s="1"/>
  <c r="E63" i="1"/>
  <c r="E62" i="1" s="1"/>
  <c r="E61" i="1" s="1"/>
  <c r="D59" i="1"/>
  <c r="D58" i="1" s="1"/>
  <c r="F58" i="1"/>
  <c r="E58" i="1"/>
  <c r="F56" i="1"/>
  <c r="E56" i="1"/>
  <c r="D56" i="1"/>
  <c r="D55" i="1"/>
  <c r="F54" i="1"/>
  <c r="F53" i="1" s="1"/>
  <c r="F50" i="1" s="1"/>
  <c r="E54" i="1"/>
  <c r="D54" i="1"/>
  <c r="D53" i="1" s="1"/>
  <c r="E53" i="1"/>
  <c r="D52" i="1"/>
  <c r="D51" i="1" s="1"/>
  <c r="D50" i="1" s="1"/>
  <c r="F51" i="1"/>
  <c r="E51" i="1"/>
  <c r="E50" i="1" s="1"/>
  <c r="D49" i="1"/>
  <c r="F48" i="1"/>
  <c r="E48" i="1"/>
  <c r="D48" i="1"/>
  <c r="D47" i="1"/>
  <c r="F46" i="1"/>
  <c r="F45" i="1" s="1"/>
  <c r="F42" i="1" s="1"/>
  <c r="E46" i="1"/>
  <c r="D46" i="1"/>
  <c r="D45" i="1" s="1"/>
  <c r="E45" i="1"/>
  <c r="D44" i="1"/>
  <c r="D43" i="1" s="1"/>
  <c r="D42" i="1" s="1"/>
  <c r="F43" i="1"/>
  <c r="E43" i="1"/>
  <c r="E42" i="1" s="1"/>
  <c r="F40" i="1"/>
  <c r="E40" i="1"/>
  <c r="D39" i="1"/>
  <c r="F38" i="1"/>
  <c r="E38" i="1"/>
  <c r="D38" i="1"/>
  <c r="D36" i="1"/>
  <c r="F35" i="1"/>
  <c r="E35" i="1"/>
  <c r="D35" i="1"/>
  <c r="D33" i="1"/>
  <c r="F32" i="1"/>
  <c r="E32" i="1"/>
  <c r="D32" i="1"/>
  <c r="D30" i="1"/>
  <c r="F29" i="1"/>
  <c r="F28" i="1" s="1"/>
  <c r="F27" i="1" s="1"/>
  <c r="E29" i="1"/>
  <c r="D29" i="1"/>
  <c r="E28" i="1"/>
  <c r="E27" i="1" s="1"/>
  <c r="F26" i="1"/>
  <c r="E26" i="1"/>
  <c r="F25" i="1"/>
  <c r="E25" i="1"/>
  <c r="D25" i="1"/>
  <c r="F24" i="1"/>
  <c r="E24" i="1"/>
  <c r="F23" i="1"/>
  <c r="E23" i="1"/>
  <c r="D23" i="1"/>
  <c r="F22" i="1"/>
  <c r="E22" i="1"/>
  <c r="F21" i="1"/>
  <c r="E21" i="1"/>
  <c r="D21" i="1"/>
  <c r="F20" i="1"/>
  <c r="E20" i="1"/>
  <c r="F19" i="1"/>
  <c r="F18" i="1" s="1"/>
  <c r="F17" i="1" s="1"/>
  <c r="E19" i="1"/>
  <c r="D19" i="1"/>
  <c r="D18" i="1" s="1"/>
  <c r="D17" i="1" s="1"/>
  <c r="E18" i="1"/>
  <c r="E17" i="1" s="1"/>
  <c r="D13" i="1"/>
  <c r="F11" i="1"/>
  <c r="E11" i="1"/>
  <c r="E10" i="1" s="1"/>
  <c r="E9" i="1" s="1"/>
  <c r="E301" i="1" s="1"/>
  <c r="F10" i="1"/>
  <c r="D62" i="1" l="1"/>
  <c r="D61" i="1" s="1"/>
  <c r="F62" i="1"/>
  <c r="F61" i="1" s="1"/>
  <c r="F9" i="1" s="1"/>
  <c r="D107" i="1"/>
  <c r="F107" i="1"/>
  <c r="D162" i="1"/>
  <c r="D131" i="1" s="1"/>
  <c r="F162" i="1"/>
  <c r="F131" i="1" s="1"/>
  <c r="F216" i="1"/>
  <c r="D234" i="1"/>
  <c r="D233" i="1" s="1"/>
  <c r="D216" i="1" s="1"/>
  <c r="D254" i="1"/>
  <c r="F254" i="1"/>
  <c r="D9" i="1" l="1"/>
  <c r="D301" i="1" s="1"/>
  <c r="D211" i="1"/>
  <c r="D210" i="1" s="1"/>
  <c r="F211" i="1"/>
  <c r="F210" i="1" s="1"/>
  <c r="F301" i="1" s="1"/>
</calcChain>
</file>

<file path=xl/sharedStrings.xml><?xml version="1.0" encoding="utf-8"?>
<sst xmlns="http://schemas.openxmlformats.org/spreadsheetml/2006/main" count="891" uniqueCount="534">
  <si>
    <t xml:space="preserve">Приложение № 1
УТВЕРЖДЕНЫ                                                                                                                                                               решением Городской Думы                                                                                 города Усть-Илимска от 22.12.2021г. № 32/219,
</t>
  </si>
  <si>
    <t>Прогнозируемые доходы бюджета города на 2022 год и плановый период 2023 и 2024 годов</t>
  </si>
  <si>
    <t>рублей</t>
  </si>
  <si>
    <t>Наименование</t>
  </si>
  <si>
    <t>Код бюджетной классификации Российской Федерации</t>
  </si>
  <si>
    <t>2022 год</t>
  </si>
  <si>
    <t>2023 год</t>
  </si>
  <si>
    <t>2024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</si>
  <si>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</si>
  <si>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</si>
  <si>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</si>
  <si>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</si>
  <si>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</si>
  <si>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</si>
  <si>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</si>
  <si>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</si>
  <si>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</si>
  <si>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</si>
  <si>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</si>
  <si>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</si>
  <si>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</si>
  <si>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</si>
  <si>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</si>
  <si>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</si>
  <si>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</si>
  <si>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</si>
  <si>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</si>
  <si>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</si>
  <si>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</si>
  <si>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</si>
  <si>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</si>
  <si>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</si>
  <si>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</si>
  <si>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</si>
  <si>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</si>
  <si>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</si>
  <si>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</si>
  <si>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</si>
  <si>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</si>
  <si>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</si>
  <si>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 xml:space="preserve">1 03 02241 01 0000 110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</si>
  <si>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</si>
  <si>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</si>
  <si>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</si>
  <si>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1 03 02251 01 0000 110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</si>
  <si>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</si>
  <si>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</si>
  <si>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</si>
  <si>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1 03 02261 01 0000 110
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</si>
  <si>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</si>
  <si>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</si>
  <si>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</si>
  <si>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</si>
  <si>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</si>
  <si>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</si>
  <si>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</si>
  <si>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</si>
  <si>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</si>
  <si>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</si>
  <si>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</si>
  <si>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</si>
  <si>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</si>
  <si>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</si>
  <si>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1 05 01050 01 0000 110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</si>
  <si>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</si>
  <si>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</si>
  <si>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</si>
  <si>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</si>
  <si>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</si>
  <si>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</si>
  <si>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1 05 03000 01 0000 110</t>
  </si>
  <si>
    <t>1 05 03010 01 0000 110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</si>
  <si>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</si>
  <si>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</si>
  <si>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</si>
  <si>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</si>
  <si>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</si>
  <si>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</si>
  <si>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</si>
  <si>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</si>
  <si>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</si>
  <si>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</si>
  <si>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</si>
  <si>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</si>
  <si>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</si>
  <si>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</si>
  <si>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</si>
  <si>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</si>
  <si>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</si>
  <si>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</si>
  <si>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</si>
  <si>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</si>
  <si>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</si>
  <si>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</si>
  <si>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</si>
  <si>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</si>
  <si>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</si>
  <si>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</si>
  <si>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</si>
  <si>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</si>
  <si>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</si>
  <si>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1 08 07150 01 0000 110</t>
  </si>
  <si>
    <t>Государственная пошлина за выдачу разрешения на установку рекламной конструкции (сумма платежа)</t>
  </si>
  <si>
    <t>904</t>
  </si>
  <si>
    <t>1 08 07150 01 1000 110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</si>
  <si>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</si>
  <si>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</si>
  <si>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платежа)</t>
  </si>
  <si>
    <t>909</t>
  </si>
  <si>
    <t>1 08 07173 01 1000 110</t>
  </si>
  <si>
    <t>ЗАДОЛЖЕННОСТЬ И ПЕРЕРАСЧЕТЫ ПО ОТМЕНЕННЫМ НАЛОГАМ, СБОРАМ И ИНЫМ ОБЯЗАТЕЛЬНЫМ ПЛАТЕЖАМ</t>
  </si>
  <si>
    <t xml:space="preserve"> 1 09 00000 00 0000 000</t>
  </si>
  <si>
    <t>Прочие налоги и сборы (по отмененным налогам и сборам субъектов Российской Федерации)</t>
  </si>
  <si>
    <t xml:space="preserve"> 1 09 06000 02 0000 110</t>
  </si>
  <si>
    <t>Налог с продаж</t>
  </si>
  <si>
    <t xml:space="preserve"> 1 09 06010 02 0000 110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</si>
  <si>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</si>
  <si>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</si>
  <si>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</si>
  <si>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</si>
  <si>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</si>
  <si>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</si>
  <si>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</si>
  <si>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</si>
  <si>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</si>
  <si>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1 11 05012 04 1000 120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</si>
  <si>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</si>
  <si>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</si>
  <si>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</si>
  <si>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</si>
  <si>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</si>
  <si>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1 11 05024 04 1000 120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</si>
  <si>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</si>
  <si>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</si>
  <si>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</si>
  <si>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</si>
  <si>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</si>
  <si>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1 11 05074 04 1000 120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</si>
  <si>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</si>
  <si>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1 11 05300 00 0000 120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</si>
  <si>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</si>
  <si>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1 11 05320 00 0000 120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</si>
  <si>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</si>
  <si>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1 11 05324 04 0000 120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</si>
  <si>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</si>
  <si>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1 11 05400 00 0000 120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</si>
  <si>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</si>
  <si>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1 11 05410 00 0000 120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</si>
  <si>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</si>
  <si>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1 11 05410 04 0000 120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</si>
  <si>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</t>
  </si>
  <si>
    <t>1 11 05420 00 0000 120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</si>
  <si>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собственности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</si>
  <si>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1 11 05420 04 0000 120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</si>
  <si>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</si>
  <si>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</si>
  <si>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</si>
  <si>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</si>
  <si>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</si>
  <si>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</si>
  <si>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</si>
  <si>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</si>
  <si>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</si>
  <si>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</si>
  <si>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</si>
  <si>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</si>
  <si>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</si>
  <si>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</si>
  <si>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</si>
  <si>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</si>
  <si>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</si>
  <si>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</si>
  <si>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</si>
  <si>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</si>
  <si>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</si>
  <si>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</si>
  <si>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1 11 09080 04 0030 120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</si>
  <si>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</si>
  <si>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1 11 09080 04 1030 120</t>
  </si>
  <si>
    <t>1 11 09080 04 0031 120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</si>
  <si>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</si>
  <si>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1 11 09080 04 1031 120</t>
  </si>
  <si>
    <t>1 11 09080 04 0032 120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</si>
  <si>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</si>
  <si>
    <t>1 11 09080 04 1032 120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</si>
  <si>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</si>
  <si>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</si>
  <si>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</si>
  <si>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</si>
  <si>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</si>
  <si>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</si>
  <si>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</si>
  <si>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</si>
  <si>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</si>
  <si>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</si>
  <si>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</si>
  <si>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</si>
  <si>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</si>
  <si>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размещение твердых коммунальных отходов</t>
  </si>
  <si>
    <t xml:space="preserve"> 1 12 01042 01 0000 120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</si>
  <si>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</si>
  <si>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</si>
  <si>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</si>
  <si>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</si>
  <si>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</si>
  <si>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</si>
  <si>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</si>
  <si>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</si>
  <si>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</si>
  <si>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</si>
  <si>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</si>
  <si>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</si>
  <si>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</si>
  <si>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</si>
  <si>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</si>
  <si>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</si>
  <si>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</si>
  <si>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</si>
  <si>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</si>
  <si>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</si>
  <si>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</si>
  <si>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</si>
  <si>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902</t>
  </si>
  <si>
    <t>907</t>
  </si>
  <si>
    <t>908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</si>
  <si>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</si>
  <si>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</si>
  <si>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</si>
  <si>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</si>
  <si>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</si>
  <si>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</si>
  <si>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</si>
  <si>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</si>
  <si>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</si>
  <si>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</si>
  <si>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</si>
  <si>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1 14 02043 04 1000 410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</si>
  <si>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</si>
  <si>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</si>
  <si>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</si>
  <si>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</si>
  <si>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</si>
  <si>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</si>
  <si>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</si>
  <si>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</si>
  <si>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</si>
  <si>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</si>
  <si>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</si>
  <si>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</si>
  <si>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</si>
  <si>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</si>
  <si>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</si>
  <si>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</si>
  <si>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</si>
  <si>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</si>
  <si>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</si>
  <si>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</si>
  <si>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</si>
  <si>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</si>
  <si>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</si>
  <si>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</si>
  <si>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</si>
  <si>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</si>
  <si>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</si>
  <si>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</si>
  <si>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</si>
  <si>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</si>
  <si>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</si>
  <si>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</si>
  <si>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</si>
  <si>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</si>
  <si>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</si>
  <si>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</si>
  <si>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</si>
  <si>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</si>
  <si>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</si>
  <si>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1 16 01133 01 0000 140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</si>
  <si>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</si>
  <si>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</si>
  <si>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</si>
  <si>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</si>
  <si>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</si>
  <si>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</si>
  <si>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</si>
  <si>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</si>
  <si>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</si>
  <si>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</si>
  <si>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</si>
  <si>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</si>
  <si>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</si>
  <si>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</si>
  <si>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</si>
  <si>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</si>
  <si>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</si>
  <si>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</si>
  <si>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</si>
  <si>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</si>
  <si>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</si>
  <si>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</si>
  <si>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</si>
  <si>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</si>
  <si>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</si>
  <si>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</si>
  <si>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</si>
  <si>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</si>
  <si>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</si>
  <si>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</si>
  <si>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</si>
  <si>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</si>
  <si>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</si>
  <si>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</si>
  <si>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</si>
  <si>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</si>
  <si>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</si>
  <si>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</si>
  <si>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Платежи в целях возмещения причиненного ущерба (убытков)</t>
  </si>
  <si>
    <t xml:space="preserve"> 1 16 10000 00 0000 140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</si>
  <si>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</si>
  <si>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1 16 10030 04 0000 140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</si>
  <si>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</si>
  <si>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1 16 10031 04 0000 140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</si>
  <si>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</si>
  <si>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1 16 10032 04 0000 140</t>
  </si>
  <si>
    <t>Платежи в целях возмещения убытков, причиненных уклонением от заключения муниципального контракта</t>
  </si>
  <si>
    <t>1 16 10060 00 0000 140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</si>
  <si>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</si>
  <si>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1 16 10061 04 0000 140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</si>
  <si>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</si>
  <si>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</si>
  <si>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</si>
  <si>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</si>
  <si>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</si>
  <si>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188</t>
  </si>
  <si>
    <t>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</si>
  <si>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</si>
  <si>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</si>
  <si>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</si>
  <si>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</si>
  <si>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</si>
  <si>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</si>
  <si>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</si>
  <si>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</si>
  <si>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</si>
  <si>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</si>
  <si>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</si>
  <si>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</si>
  <si>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</si>
  <si>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</si>
  <si>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</si>
  <si>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</si>
  <si>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Инициативные платежи</t>
  </si>
  <si>
    <t>1 17 15000 00 0000 150</t>
  </si>
  <si>
    <t>Инициативные платежи, зачисляемые в бюджеты городских округов</t>
  </si>
  <si>
    <t>1 17 15020 04 0000 150</t>
  </si>
  <si>
    <t>Инициативные платежи, зачисляемые в бюджеты городских округов (Ремонт участка автодороги от т. 83 по ул. Декабристов до контррезервуаров и участка автодороги на ул. Декабристов)</t>
  </si>
  <si>
    <t>1 17 15 020 04 0010 150</t>
  </si>
  <si>
    <t>Инициативные платежи, зачисляемые в бюджеты городских округов (Организация детской площадки «Лесная»)</t>
  </si>
  <si>
    <t xml:space="preserve"> 1 17 15 020 04 0020 150</t>
  </si>
  <si>
    <t>Инициативные платежи, зачисляемые в бюджеты городских округов (Коворкинг-центр в Муниципальном автономном общеобразовательном учреждении «Экспериментальный лицей «Научно-образовательный комплекс»)</t>
  </si>
  <si>
    <t>1 17 15 020 04 0030 150</t>
  </si>
  <si>
    <t>Инициативные платежи, зачисляемые в бюджеты городских округов (Обустройство пешеходного перехода через автодорогу по ул. Интернационалистов в районе зданий № 8 и № 9 с частичным ямочным ремонтом автодорожного полотна по ул. Интернационалистов на участке между ул. Энтузиастов и ул. Молодежная)</t>
  </si>
  <si>
    <t>1 17 15 020 04 0040 150</t>
  </si>
  <si>
    <t>Инициативные платежи, зачисляемые в бюджеты городских округов (Устройство уличного освещения по ул. Декабристов)</t>
  </si>
  <si>
    <t>1 17 15 020 04 0050 150</t>
  </si>
  <si>
    <t>Инициативные платежи, зачисляемые в бюджеты городских округов (Благоустройство территории, прилегающей к зданию Муниципального бюджетного дошкольного образовательного учреждения «Детский сад № 7 «Незабудка»)</t>
  </si>
  <si>
    <t>1 17 15 020 04 0060 150</t>
  </si>
  <si>
    <t>Инициативные платежи, зачисляемые в бюджеты городских округов (Ремонт помещений бассейна Муниципального бюджетного дошкольного образовательного учреждения «Детский сад № 8 «Белочка»)</t>
  </si>
  <si>
    <t>1 17 15 020 04 0070 150</t>
  </si>
  <si>
    <t>Инициативные платежи, зачисляемые в бюджеты городских округов (Устройство пешеходных дорожек к Областному государственному автономному учреждению здравоохранения «Усть-Илимская городская поликлиника № 1», расположенному по адресу ул. Чайковского, 7)</t>
  </si>
  <si>
    <t>1 17 15 020 04 0080 150</t>
  </si>
  <si>
    <t>Инициативные платежи, зачисляемые в бюджеты городских округов (Установка спортивной площадки в микрорайоне Тушама на ул. Нагорная, 1)</t>
  </si>
  <si>
    <t xml:space="preserve"> 1 17 15 020 04 0090 150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</si>
  <si>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развития адаптивного спорта в городе Усть-Илимске)</t>
  </si>
  <si>
    <t>1 17 15 020 04 0100 150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</si>
  <si>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развития военно-патриотического воспитания в городе Усть-Илимске)</t>
  </si>
  <si>
    <t xml:space="preserve"> 1 17 15 020 04 0110 150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</si>
  <si>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создания профессиональной медиашколы для молодежи, студии подкастов)</t>
  </si>
  <si>
    <t>1 17 15 020 04 0120 150</t>
  </si>
  <si>
    <t>Инициативные платежи, зачисляемые в бюджеты городских округов (Создание спортивной площадки для лиц с ограниченными возможностями здоровья)</t>
  </si>
  <si>
    <t>1 17 15 020 04 0130 150</t>
  </si>
  <si>
    <t>Инициативные платежи, зачисляемые в бюджеты городских округов (Создание спортивной площадки для занятий воркаутом на территории муниципального образования город Усть-Илимск)</t>
  </si>
  <si>
    <t>1 17 15 020 04 0140 150</t>
  </si>
  <si>
    <t>Инициативные платежи, зачисляемые в бюджеты городских округов (Создание спортивной площадки для занятий гимнастикой на территории муниципального образования город Усть-Илимск)</t>
  </si>
  <si>
    <t>1 17 15 020 04 0150 150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</si>
  <si>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</si>
  <si>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</si>
  <si>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</si>
  <si>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</si>
  <si>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</si>
  <si>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</si>
  <si>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</si>
  <si>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</si>
  <si>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</si>
  <si>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</si>
  <si>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</si>
  <si>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Дотации бюджетам на поддержку мер по обеспечению сбалансированности бюджетов</t>
  </si>
  <si>
    <t>2 02 15002 04 0000 150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</si>
  <si>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</si>
  <si>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</si>
  <si>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</si>
  <si>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</si>
  <si>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</si>
  <si>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2 02 20299 04 0000 150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</si>
  <si>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</si>
  <si>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</si>
  <si>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</si>
  <si>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906</t>
  </si>
  <si>
    <t>2 02 25081 04 0000 150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</si>
  <si>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</si>
  <si>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</si>
  <si>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</si>
  <si>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</si>
  <si>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</si>
  <si>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</si>
  <si>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</si>
  <si>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</si>
  <si>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2 02 25466 04 0000 150</t>
  </si>
  <si>
    <t>Субсидии бюджетам на реализацию мероприятий по обеспечению жильем молодых семей</t>
  </si>
  <si>
    <t>2 02 25497 00 0000 150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</si>
  <si>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</si>
  <si>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</si>
  <si>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Субсидии бюджетам на поддержку отрасли культуры</t>
  </si>
  <si>
    <t>2 02 25519 00 0000 150</t>
  </si>
  <si>
    <t>Субсидии бюджетам городских округов на поддержку отрасли культуры</t>
  </si>
  <si>
    <t>2 02 25519 04 0000 150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</si>
  <si>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</si>
  <si>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</si>
  <si>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</si>
  <si>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</si>
  <si>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Субсидии бюджетам на реализацию мероприятий по модернизации школьных систем образования</t>
  </si>
  <si>
    <t>2 02 25750 00 0000 150</t>
  </si>
  <si>
    <t>Субсидии бюджетам городских округов на реализацию мероприятий по модернизации школьных систем образования</t>
  </si>
  <si>
    <t>2 02 25750 04 0000 150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</si>
  <si>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</si>
  <si>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</si>
  <si>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</si>
  <si>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</si>
  <si>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</si>
  <si>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>Прочие субсидии бюджетам городских округов (субсидии на оснащение инженерно-техническими средствами зданий и территорий муниципальных образовательных организаций в целях обеспечения антитеррористической безопасности в Иркутской области)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</si>
  <si>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</si>
  <si>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</si>
  <si>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</si>
  <si>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</si>
  <si>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Прочие субсидии бюджетам городских округов (субсидии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</si>
  <si>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</si>
  <si>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области)</t>
  </si>
  <si>
    <t>Прочие субсидии бюджетам городских округов (субсидии местным бюджетам на проведение капитальных ремонтов спортивных площадок (стадионов)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</si>
  <si>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</si>
  <si>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</si>
  <si>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Прочие субсидии бюджетам городских округов (субсидии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</si>
  <si>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Прочие субсидии бюджетам городских округов (субсидии местным бюджетам на мероприятия по улучшению жилищных условий молодых семей)</t>
  </si>
  <si>
    <t>Прочие субсидии бюджетам городских округов (субсидии местным бюджетам на реализацию программ по работе с детьми и молодежью)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</si>
  <si>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</si>
  <si>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расселяемого с финансовой поддержкой государственной корпорации - Фонда содействия реформированию жилищно-коммунального хозяйства, осуществляемых за счет средств областного бюджета)</t>
  </si>
  <si>
    <t>Прочие субсидии бюджетам городских округов (субсидии местным бюджетам на создание мест (площадок) накопления  твердых коммунальных отходов)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</si>
  <si>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местного значения)</t>
  </si>
  <si>
    <t>Субвенции бюджетам бюджетной системы Российской Федерации</t>
  </si>
  <si>
    <t>2 02 30000 00 0000 150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</si>
  <si>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</si>
  <si>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2 02 30022 00 0000 150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</si>
  <si>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</si>
  <si>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2 02 30022 04 0000 150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</si>
  <si>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</si>
  <si>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</si>
  <si>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</si>
  <si>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</si>
  <si>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</si>
  <si>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</si>
  <si>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</si>
  <si>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</si>
  <si>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</si>
  <si>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</si>
  <si>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</si>
  <si>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</si>
  <si>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</si>
  <si>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</si>
  <si>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</si>
  <si>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</si>
  <si>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</si>
  <si>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</si>
  <si>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</si>
  <si>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</si>
  <si>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</si>
  <si>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</si>
  <si>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</si>
  <si>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</si>
  <si>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2 02 39999 04 0041 150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</si>
  <si>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</si>
  <si>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Иные межбюджетные трансферты</t>
  </si>
  <si>
    <t>2 02 40000 00 0000 150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</si>
  <si>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</si>
  <si>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2 02 45179 00 0000 150</t>
  </si>
  <si>
    <t>2 02 45179 04 0000 150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</si>
  <si>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</si>
  <si>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</si>
  <si>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</si>
  <si>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</si>
  <si>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</si>
  <si>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2 02 45424 00 0000 150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</si>
  <si>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</si>
  <si>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2 02 45424 04 0000 150</t>
  </si>
  <si>
    <t>Прочие межбюджетные трансферты, передаваемые бюджетам</t>
  </si>
  <si>
    <t>2 02 49999 00 0000 150</t>
  </si>
  <si>
    <t>Прочие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бюджетов, а также с проведением преобразования муниципальных образований Иркутской области в форме объединения</t>
  </si>
  <si>
    <t>2 02 49999 04 0000 150</t>
  </si>
  <si>
    <t>Прочие безвозмездные поступления</t>
  </si>
  <si>
    <t xml:space="preserve"> 2 07 00000 00 0000 000</t>
  </si>
  <si>
    <t>Прочие безвозмездные поступления в бюджеты городских округов</t>
  </si>
  <si>
    <t>2 07 04000 04 0000 150</t>
  </si>
  <si>
    <t>2 07 04050 04 0000 150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</si>
  <si>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</si>
  <si>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</si>
  <si>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</si>
  <si>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</si>
  <si>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</si>
  <si>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2 18 00000 04 0000 150</t>
  </si>
  <si>
    <t>Доходы бюджетов городских округов от возврата организациями остатков субсидий прошлых лет</t>
  </si>
  <si>
    <t xml:space="preserve"> 2 18 04000 04 0000 150</t>
  </si>
  <si>
    <t>Доходы бюджетов городских округов от возврата автономными учреждениями остатков субсидий прошлых лет</t>
  </si>
  <si>
    <t xml:space="preserve"> 2 18 04030 04 0000 150</t>
  </si>
  <si>
    <t>Доходы бюджетов городских округов от возврата иными организациями остатков субсидий прошлых лет</t>
  </si>
  <si>
    <t>2 18 04030 04 0000 150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</si>
  <si>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</si>
  <si>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</si>
  <si>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</si>
  <si>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</si>
  <si>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</si>
  <si>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</si>
  <si>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>ИТОГО ДОХОДОВ</t>
  </si>
  <si>
    <t>Председатель Городской Думы</t>
  </si>
  <si>
    <t xml:space="preserve">                                  А.П. Чихирьков</t>
  </si>
  <si>
    <t>Мэр города</t>
  </si>
  <si>
    <t xml:space="preserve">                                       А.И. Щекина</t>
  </si>
  <si>
    <t>в редакции решения Городской Думы города Усть-Илимска от 22.12.2022г. № 45/327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</si>
</sst>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_р_."/>
    <numFmt numFmtId="165" formatCode="#,##0.00;[Red]\-#,##0.00;0.00"/>
    <numFmt numFmtId="166" formatCode="000"/>
    <numFmt numFmtId="167" formatCode="#,##0.0"/>
    <numFmt numFmtId="168" formatCode="?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92D05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7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4" fillId="0" borderId="2">
      <alignment horizontal="left" wrapText="1" indent="2"/>
    </xf>
    <xf numFmtId="49" fontId="14" fillId="0" borderId="3">
      <alignment horizontal="center"/>
    </xf>
    <xf numFmtId="0" fontId="16" fillId="0" borderId="0"/>
    <xf numFmtId="4" fontId="14" fillId="0" borderId="3">
      <alignment horizontal="right"/>
    </xf>
    <xf numFmtId="0" fontId="16" fillId="0" borderId="0"/>
    <xf numFmtId="0" fontId="17" fillId="0" borderId="0"/>
    <xf numFmtId="0" fontId="9" fillId="0" borderId="0"/>
    <xf numFmtId="0" fontId="16" fillId="0" borderId="0"/>
    <xf numFmtId="0" fontId="16" fillId="0" borderId="0"/>
    <xf numFmtId="0" fontId="1" fillId="0" borderId="0"/>
    <xf numFmtId="0" fontId="14" fillId="0" borderId="2">
      <alignment horizontal="left" wrapText="1" indent="2"/>
    </xf>
    <xf numFmtId="49" fontId="14" fillId="0" borderId="3">
      <alignment horizontal="center"/>
    </xf>
    <xf numFmtId="0" fontId="16" fillId="0" borderId="0"/>
  </cellStyleXfs>
  <cellXfs count="138">
    <xf numFmtId="0" fontId="0" fillId="0" borderId="0" xfId="0"/>
    <xf numFmtId="0" fontId="3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9" fontId="4" fillId="2" borderId="0" xfId="2" applyFont="1" applyFill="1" applyAlignment="1">
      <alignment horizontal="center" vertical="top" wrapText="1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right" vertical="center"/>
    </xf>
    <xf numFmtId="3" fontId="3" fillId="2" borderId="1" xfId="3" applyNumberFormat="1" applyFont="1" applyFill="1" applyBorder="1" applyAlignment="1">
      <alignment horizontal="center" vertical="center" wrapText="1"/>
    </xf>
    <xf numFmtId="16" fontId="3" fillId="2" borderId="0" xfId="0" applyNumberFormat="1" applyFont="1" applyFill="1" applyBorder="1"/>
    <xf numFmtId="0" fontId="3" fillId="2" borderId="1" xfId="3" applyNumberFormat="1" applyFont="1" applyFill="1" applyBorder="1" applyAlignment="1">
      <alignment horizontal="left" vertical="center" wrapText="1"/>
    </xf>
    <xf numFmtId="49" fontId="3" fillId="2" borderId="1" xfId="3" applyNumberFormat="1" applyFont="1" applyFill="1" applyBorder="1" applyAlignment="1">
      <alignment horizontal="center" vertical="center"/>
    </xf>
    <xf numFmtId="164" fontId="3" fillId="2" borderId="1" xfId="3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4" fillId="2" borderId="0" xfId="0" applyNumberFormat="1" applyFont="1" applyFill="1" applyBorder="1"/>
    <xf numFmtId="0" fontId="3" fillId="2" borderId="1" xfId="3" applyNumberFormat="1" applyFont="1" applyFill="1" applyBorder="1" applyAlignment="1" applyProtection="1">
      <alignment horizontal="left" vertical="center" wrapText="1"/>
      <protection locked="0"/>
    </xf>
    <xf numFmtId="49" fontId="3" fillId="2" borderId="1" xfId="3" applyNumberFormat="1" applyFont="1" applyFill="1" applyBorder="1" applyAlignment="1" applyProtection="1">
      <alignment horizontal="center" vertical="center"/>
      <protection locked="0"/>
    </xf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4" fontId="12" fillId="2" borderId="1" xfId="1" applyNumberFormat="1" applyFont="1" applyFill="1" applyBorder="1" applyAlignment="1">
      <alignment horizontal="center" vertical="center" wrapText="1"/>
    </xf>
    <xf numFmtId="0" fontId="13" fillId="2" borderId="0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1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" fontId="3" fillId="2" borderId="1" xfId="0" applyNumberFormat="1" applyFont="1" applyFill="1" applyBorder="1" applyAlignment="1">
      <alignment horizontal="center" vertical="center" wrapText="1"/>
    </xf>
    <xf numFmtId="2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3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15" fillId="2" borderId="1" xfId="4" applyNumberFormat="1" applyFont="1" applyFill="1" applyBorder="1" applyAlignment="1" applyProtection="1">
      <alignment horizontal="left" vertical="center" wrapText="1"/>
    </xf>
    <xf numFmtId="49" fontId="15" fillId="2" borderId="1" xfId="5" applyNumberFormat="1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center" wrapText="1"/>
    </xf>
    <xf numFmtId="0" fontId="3" fillId="2" borderId="1" xfId="6" applyNumberFormat="1" applyFont="1" applyFill="1" applyBorder="1" applyAlignment="1" applyProtection="1">
      <alignment horizontal="left" vertical="center" wrapText="1"/>
      <protection hidden="1"/>
    </xf>
    <xf numFmtId="4" fontId="3" fillId="2" borderId="1" xfId="2" applyNumberFormat="1" applyFont="1" applyFill="1" applyBorder="1" applyAlignment="1">
      <alignment horizontal="center" vertical="center" wrapText="1"/>
    </xf>
    <xf numFmtId="4" fontId="14" fillId="2" borderId="0" xfId="7" applyNumberFormat="1" applyFill="1" applyBorder="1" applyProtection="1">
      <alignment horizontal="right"/>
    </xf>
    <xf numFmtId="0" fontId="3" fillId="2" borderId="1" xfId="0" applyNumberFormat="1" applyFont="1" applyFill="1" applyBorder="1" applyAlignment="1">
      <alignment horizontal="left" vertical="center" wrapText="1"/>
    </xf>
    <xf numFmtId="49" fontId="3" fillId="2" borderId="1" xfId="8" applyNumberFormat="1" applyFont="1" applyFill="1" applyBorder="1" applyAlignment="1" applyProtection="1">
      <alignment horizontal="center" vertical="center"/>
      <protection hidden="1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3" applyNumberFormat="1" applyFont="1" applyFill="1" applyBorder="1" applyAlignment="1">
      <alignment vertical="center" wrapText="1"/>
    </xf>
    <xf numFmtId="0" fontId="3" fillId="2" borderId="1" xfId="4" applyNumberFormat="1" applyFont="1" applyFill="1" applyBorder="1" applyAlignment="1" applyProtection="1">
      <alignment horizontal="left" vertical="center" wrapText="1"/>
    </xf>
    <xf numFmtId="49" fontId="3" fillId="2" borderId="1" xfId="5" applyNumberFormat="1" applyFont="1" applyFill="1" applyBorder="1" applyAlignment="1" applyProtection="1">
      <alignment horizontal="center" vertical="center"/>
    </xf>
    <xf numFmtId="4" fontId="3" fillId="2" borderId="0" xfId="0" applyNumberFormat="1" applyFont="1" applyFill="1"/>
    <xf numFmtId="0" fontId="3" fillId="2" borderId="1" xfId="3" applyNumberFormat="1" applyFont="1" applyFill="1" applyBorder="1" applyAlignment="1">
      <alignment horizontal="left" vertical="center" wrapText="1" shrinkToFit="1"/>
    </xf>
    <xf numFmtId="49" fontId="3" fillId="2" borderId="1" xfId="0" applyNumberFormat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3" applyNumberFormat="1" applyFont="1" applyFill="1" applyBorder="1" applyAlignment="1">
      <alignment horizontal="left" vertical="center" wrapText="1"/>
    </xf>
    <xf numFmtId="49" fontId="12" fillId="2" borderId="1" xfId="3" applyNumberFormat="1" applyFont="1" applyFill="1" applyBorder="1" applyAlignment="1">
      <alignment horizontal="center" vertical="center"/>
    </xf>
    <xf numFmtId="49" fontId="3" fillId="2" borderId="1" xfId="3" applyNumberFormat="1" applyFont="1" applyFill="1" applyBorder="1" applyAlignment="1">
      <alignment horizontal="left" vertical="center" wrapText="1"/>
    </xf>
    <xf numFmtId="4" fontId="3" fillId="2" borderId="1" xfId="1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12" fillId="2" borderId="1" xfId="10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166" fontId="3" fillId="2" borderId="1" xfId="11" applyNumberFormat="1" applyFont="1" applyFill="1" applyBorder="1" applyAlignment="1" applyProtection="1">
      <alignment horizontal="left" vertical="center" wrapText="1"/>
      <protection hidden="1"/>
    </xf>
    <xf numFmtId="0" fontId="12" fillId="2" borderId="1" xfId="0" applyFont="1" applyFill="1" applyBorder="1" applyAlignment="1">
      <alignment horizontal="left" wrapText="1"/>
    </xf>
    <xf numFmtId="4" fontId="3" fillId="2" borderId="1" xfId="13" applyNumberFormat="1" applyFont="1" applyFill="1" applyBorder="1" applyAlignment="1">
      <alignment horizontal="center" vertical="center" wrapText="1"/>
    </xf>
    <xf numFmtId="167" fontId="3" fillId="2" borderId="1" xfId="0" applyNumberFormat="1" applyFont="1" applyFill="1" applyBorder="1" applyAlignment="1">
      <alignment horizontal="left" vertical="center" wrapText="1"/>
    </xf>
    <xf numFmtId="168" fontId="3" fillId="2" borderId="1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14" applyNumberFormat="1" applyFont="1" applyFill="1" applyBorder="1" applyAlignment="1" applyProtection="1">
      <alignment horizontal="left" vertical="center" wrapText="1"/>
    </xf>
    <xf numFmtId="49" fontId="3" fillId="2" borderId="1" xfId="15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20" fillId="2" borderId="0" xfId="0" applyFont="1" applyFill="1" applyAlignment="1">
      <alignment horizontal="left"/>
    </xf>
    <xf numFmtId="0" fontId="20" fillId="2" borderId="0" xfId="0" applyFont="1" applyFill="1" applyAlignment="1"/>
    <xf numFmtId="0" fontId="18" fillId="2" borderId="0" xfId="0" applyFont="1" applyFill="1" applyAlignment="1">
      <alignment horizontal="center"/>
    </xf>
    <xf numFmtId="0" fontId="20" fillId="2" borderId="0" xfId="0" applyFont="1" applyFill="1" applyAlignment="1">
      <alignment horizontal="center" vertical="center"/>
    </xf>
    <xf numFmtId="0" fontId="20" fillId="2" borderId="0" xfId="0" applyFont="1" applyFill="1" applyBorder="1"/>
    <xf numFmtId="0" fontId="20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 applyAlignment="1"/>
    <xf numFmtId="4" fontId="6" fillId="2" borderId="0" xfId="0" applyNumberFormat="1" applyFont="1" applyFill="1" applyAlignment="1">
      <alignment horizontal="center" vertical="center"/>
    </xf>
    <xf numFmtId="4" fontId="6" fillId="2" borderId="0" xfId="0" applyNumberFormat="1" applyFont="1" applyFill="1" applyAlignment="1"/>
    <xf numFmtId="0" fontId="6" fillId="2" borderId="0" xfId="0" applyFont="1" applyFill="1"/>
    <xf numFmtId="0" fontId="7" fillId="2" borderId="0" xfId="6" applyFont="1" applyFill="1" applyAlignment="1" applyProtection="1">
      <alignment horizontal="left"/>
      <protection hidden="1"/>
    </xf>
    <xf numFmtId="0" fontId="3" fillId="2" borderId="0" xfId="0" applyFont="1" applyFill="1" applyAlignment="1" applyProtection="1">
      <alignment horizontal="center"/>
      <protection hidden="1"/>
    </xf>
    <xf numFmtId="0" fontId="7" fillId="2" borderId="0" xfId="12" applyFont="1" applyFill="1" applyAlignment="1">
      <alignment horizontal="left"/>
    </xf>
    <xf numFmtId="0" fontId="3" fillId="2" borderId="0" xfId="16" applyFont="1" applyFill="1" applyAlignment="1" applyProtection="1">
      <alignment horizontal="center" vertical="center"/>
      <protection hidden="1"/>
    </xf>
    <xf numFmtId="0" fontId="3" fillId="2" borderId="0" xfId="16" applyFont="1" applyFill="1" applyProtection="1">
      <protection hidden="1"/>
    </xf>
    <xf numFmtId="0" fontId="3" fillId="2" borderId="0" xfId="16" applyFont="1" applyFill="1" applyAlignment="1" applyProtection="1">
      <alignment horizontal="left"/>
      <protection hidden="1"/>
    </xf>
    <xf numFmtId="0" fontId="2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/>
    </xf>
    <xf numFmtId="49" fontId="15" fillId="2" borderId="1" xfId="4" applyNumberFormat="1" applyFont="1" applyFill="1" applyBorder="1" applyAlignment="1" applyProtection="1">
      <alignment horizontal="left" vertical="center" wrapText="1"/>
    </xf>
    <xf numFmtId="49" fontId="15" fillId="2" borderId="1" xfId="5" applyNumberFormat="1" applyFont="1" applyFill="1" applyBorder="1" applyAlignment="1" applyProtection="1">
      <alignment horizontal="center" vertical="center" wrapText="1"/>
    </xf>
    <xf numFmtId="0" fontId="15" fillId="2" borderId="1" xfId="4" applyNumberFormat="1" applyFont="1" applyFill="1" applyBorder="1" applyAlignment="1" applyProtection="1">
      <alignment wrapText="1"/>
    </xf>
    <xf numFmtId="0" fontId="3" fillId="2" borderId="1" xfId="9" applyNumberFormat="1" applyFont="1" applyFill="1" applyBorder="1" applyAlignment="1" applyProtection="1">
      <alignment horizontal="left" vertical="center" wrapText="1"/>
      <protection hidden="1"/>
    </xf>
    <xf numFmtId="0" fontId="3" fillId="2" borderId="1" xfId="9" applyNumberFormat="1" applyFont="1" applyFill="1" applyBorder="1" applyAlignment="1" applyProtection="1">
      <alignment horizontal="right" vertical="center"/>
      <protection hidden="1"/>
    </xf>
    <xf numFmtId="165" fontId="3" fillId="2" borderId="1" xfId="9" applyNumberFormat="1" applyFont="1" applyFill="1" applyBorder="1" applyAlignment="1" applyProtection="1">
      <alignment horizontal="center" vertical="center"/>
      <protection hidden="1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center" wrapText="1"/>
    </xf>
    <xf numFmtId="0" fontId="7" fillId="2" borderId="0" xfId="6" applyFont="1" applyFill="1" applyBorder="1" applyAlignment="1" applyProtection="1">
      <alignment horizontal="center"/>
      <protection hidden="1"/>
    </xf>
    <xf numFmtId="0" fontId="7" fillId="2" borderId="0" xfId="16" applyFont="1" applyFill="1" applyAlignment="1" applyProtection="1">
      <alignment horizontal="left"/>
      <protection hidden="1"/>
    </xf>
    <xf numFmtId="0" fontId="7" fillId="2" borderId="0" xfId="16" applyFont="1" applyFill="1" applyAlignment="1" applyProtection="1">
      <alignment horizontal="center"/>
      <protection hidden="1"/>
    </xf>
    <xf numFmtId="0" fontId="11" fillId="2" borderId="0" xfId="0" applyFont="1" applyFill="1" applyAlignment="1">
      <alignment horizontal="center" vertical="center" wrapText="1" shrinkToFit="1"/>
    </xf>
    <xf numFmtId="0" fontId="19" fillId="2" borderId="0" xfId="12" applyFont="1" applyFill="1" applyAlignment="1">
      <alignment horizontal="center" vertical="center" wrapText="1"/>
    </xf>
    <xf numFmtId="0" fontId="11" fillId="2" borderId="0" xfId="12" applyFont="1" applyFill="1" applyAlignment="1">
      <alignment horizontal="center" vertical="center" wrapText="1"/>
    </xf>
    <xf numFmtId="0" fontId="7" fillId="2" borderId="0" xfId="6" applyFont="1" applyFill="1" applyAlignment="1" applyProtection="1">
      <alignment horizontal="center"/>
      <protection hidden="1"/>
    </xf>
    <xf numFmtId="0" fontId="7" fillId="2" borderId="0" xfId="12" applyFont="1" applyFill="1" applyAlignment="1">
      <alignment horizontal="left"/>
    </xf>
    <xf numFmtId="0" fontId="6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</cellXfs>
  <cellStyles count="17">
    <cellStyle name="xl31" xfId="4"/>
    <cellStyle name="xl34" xfId="14"/>
    <cellStyle name="xl43" xfId="5"/>
    <cellStyle name="xl46" xfId="7"/>
    <cellStyle name="xl52" xfId="15"/>
    <cellStyle name="Обычный" xfId="0" builtinId="0"/>
    <cellStyle name="Обычный 2" xfId="6"/>
    <cellStyle name="Обычный 2 2" xfId="11"/>
    <cellStyle name="Обычный 2 3" xfId="12"/>
    <cellStyle name="Обычный 2 4" xfId="16"/>
    <cellStyle name="Обычный 3" xfId="9"/>
    <cellStyle name="Обычный 6" xfId="13"/>
    <cellStyle name="Обычный_доходы за январь " xfId="8"/>
    <cellStyle name="Обычный_Лист1" xfId="10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08"/>
  <sheetViews>
    <sheetView tabSelected="1" zoomScaleNormal="100" workbookViewId="0">
      <selection activeCell="D3" sqref="D3:F3"/>
    </sheetView>
  </sheetViews>
  <sheetFormatPr defaultColWidth="8.85546875" defaultRowHeight="15" x14ac:dyDescent="0.25"/>
  <cols>
    <col min="1" max="1" width="53.85546875" style="99" customWidth="1"/>
    <col min="2" max="2" width="8" style="103" customWidth="1"/>
    <col min="3" max="3" width="20.85546875" style="2" customWidth="1"/>
    <col min="4" max="4" width="15.28515625" style="111" customWidth="1"/>
    <col min="5" max="5" width="14.7109375" style="103" customWidth="1"/>
    <col min="6" max="6" width="15.140625" style="8" customWidth="1"/>
    <col min="7" max="7" width="12.28515625" style="8" hidden="1" customWidth="1"/>
    <col min="8" max="8" width="10.85546875" style="8" hidden="1" customWidth="1"/>
    <col min="9" max="10" width="10" style="8" hidden="1" customWidth="1"/>
    <col min="11" max="11" width="8.85546875" style="8" hidden="1" customWidth="1"/>
    <col min="12" max="12" width="16.140625" style="8" hidden="1" customWidth="1"/>
    <col min="13" max="19" width="8.85546875" style="8" hidden="1" customWidth="1"/>
    <col min="20" max="20" width="0.28515625" style="8" hidden="1" customWidth="1"/>
    <col min="21" max="21" width="8.85546875" style="8" hidden="1" customWidth="1"/>
    <col min="22" max="22" width="0.28515625" style="8" hidden="1" customWidth="1"/>
    <col min="23" max="26" width="8.85546875" style="8" hidden="1" customWidth="1"/>
    <col min="27" max="34" width="8.85546875" style="103" hidden="1" customWidth="1"/>
    <col min="35" max="36" width="8.85546875" style="8" hidden="1" customWidth="1"/>
    <col min="37" max="37" width="0.28515625" style="8" hidden="1" customWidth="1"/>
    <col min="38" max="48" width="8.85546875" style="8" hidden="1" customWidth="1"/>
    <col min="49" max="49" width="0.42578125" style="8" hidden="1" customWidth="1"/>
    <col min="50" max="57" width="8.85546875" style="103" hidden="1" customWidth="1"/>
    <col min="58" max="58" width="19.28515625" style="103" hidden="1" customWidth="1"/>
    <col min="59" max="59" width="10" style="103" hidden="1" customWidth="1"/>
    <col min="60" max="64" width="8.85546875" style="103" hidden="1" customWidth="1"/>
    <col min="65" max="65" width="0.140625" style="8" customWidth="1"/>
    <col min="66" max="66" width="8.85546875" style="8" hidden="1" customWidth="1"/>
    <col min="67" max="16384" width="8.85546875" style="103"/>
  </cols>
  <sheetData>
    <row r="1" spans="1:66" s="6" customFormat="1" ht="25.9" customHeight="1" x14ac:dyDescent="0.25">
      <c r="A1" s="1"/>
      <c r="B1" s="2"/>
      <c r="C1" s="3"/>
      <c r="D1" s="129" t="s">
        <v>0</v>
      </c>
      <c r="E1" s="129"/>
      <c r="F1" s="129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5"/>
      <c r="W1" s="4"/>
      <c r="X1" s="4"/>
      <c r="Y1" s="4"/>
      <c r="Z1" s="4"/>
      <c r="AC1" s="7"/>
      <c r="AD1" s="7"/>
      <c r="AE1" s="7"/>
      <c r="AF1" s="7"/>
      <c r="AG1" s="7"/>
      <c r="AH1" s="7"/>
      <c r="AI1" s="4"/>
      <c r="AJ1" s="4"/>
      <c r="AK1" s="4"/>
      <c r="AL1" s="4"/>
      <c r="AM1" s="4"/>
      <c r="AN1" s="4"/>
      <c r="AO1" s="4"/>
      <c r="AP1" s="4"/>
      <c r="AQ1" s="4"/>
      <c r="AR1" s="8"/>
      <c r="AS1" s="8"/>
      <c r="AT1" s="4"/>
      <c r="AU1" s="4"/>
      <c r="AV1" s="4"/>
      <c r="AW1" s="4"/>
      <c r="BK1" s="130"/>
      <c r="BL1" s="130"/>
      <c r="BM1" s="4"/>
      <c r="BN1" s="4"/>
    </row>
    <row r="2" spans="1:66" s="6" customFormat="1" ht="29.45" customHeight="1" x14ac:dyDescent="0.25">
      <c r="A2" s="1"/>
      <c r="B2" s="9"/>
      <c r="C2" s="3"/>
      <c r="D2" s="129"/>
      <c r="E2" s="129"/>
      <c r="F2" s="129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  <c r="W2" s="4"/>
      <c r="X2" s="4"/>
      <c r="Y2" s="4"/>
      <c r="Z2" s="4"/>
      <c r="AC2" s="7"/>
      <c r="AD2" s="7"/>
      <c r="AE2" s="7"/>
      <c r="AF2" s="7"/>
      <c r="AG2" s="7"/>
      <c r="AH2" s="7"/>
      <c r="AI2" s="4"/>
      <c r="AJ2" s="4"/>
      <c r="AK2" s="4"/>
      <c r="AL2" s="4"/>
      <c r="AM2" s="4"/>
      <c r="AN2" s="4"/>
      <c r="AO2" s="4"/>
      <c r="AP2" s="4"/>
      <c r="AQ2" s="4"/>
      <c r="AR2" s="8"/>
      <c r="AS2" s="8"/>
      <c r="AT2" s="4"/>
      <c r="AU2" s="4"/>
      <c r="AV2" s="4"/>
      <c r="AW2" s="4"/>
      <c r="BK2" s="130"/>
      <c r="BL2" s="130"/>
      <c r="BM2" s="4"/>
      <c r="BN2" s="4"/>
    </row>
    <row r="3" spans="1:66" s="6" customFormat="1" ht="28.9" customHeight="1" x14ac:dyDescent="0.25">
      <c r="A3" s="1"/>
      <c r="B3" s="9"/>
      <c r="C3" s="3"/>
      <c r="D3" s="129" t="s">
        <v>533</v>
      </c>
      <c r="E3" s="129"/>
      <c r="F3" s="129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/>
      <c r="W3" s="4"/>
      <c r="X3" s="4"/>
      <c r="Y3" s="4"/>
      <c r="Z3" s="4"/>
      <c r="AC3" s="7"/>
      <c r="AD3" s="7"/>
      <c r="AE3" s="7"/>
      <c r="AF3" s="7"/>
      <c r="AG3" s="7"/>
      <c r="AH3" s="7"/>
      <c r="AI3" s="4"/>
      <c r="AJ3" s="4"/>
      <c r="AK3" s="4"/>
      <c r="AL3" s="4"/>
      <c r="AM3" s="4"/>
      <c r="AN3" s="4"/>
      <c r="AO3" s="4"/>
      <c r="AP3" s="4"/>
      <c r="AQ3" s="4"/>
      <c r="AR3" s="8"/>
      <c r="AS3" s="8"/>
      <c r="AT3" s="4"/>
      <c r="AU3" s="4"/>
      <c r="AV3" s="4"/>
      <c r="AW3" s="4"/>
      <c r="BK3" s="130"/>
      <c r="BL3" s="130"/>
      <c r="BM3" s="4"/>
      <c r="BN3" s="4"/>
    </row>
    <row r="4" spans="1:66" s="6" customFormat="1" ht="19.899999999999999" customHeight="1" x14ac:dyDescent="0.25">
      <c r="A4" s="1"/>
      <c r="B4" s="9"/>
      <c r="C4" s="3"/>
      <c r="D4" s="10"/>
      <c r="E4" s="10"/>
      <c r="F4" s="10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5"/>
      <c r="W4" s="4"/>
      <c r="X4" s="4"/>
      <c r="Y4" s="4"/>
      <c r="Z4" s="4"/>
      <c r="AC4" s="7"/>
      <c r="AD4" s="7"/>
      <c r="AE4" s="7"/>
      <c r="AF4" s="7"/>
      <c r="AG4" s="7"/>
      <c r="AH4" s="7"/>
      <c r="AI4" s="4"/>
      <c r="AJ4" s="4"/>
      <c r="AK4" s="4"/>
      <c r="AL4" s="4"/>
      <c r="AM4" s="4"/>
      <c r="AN4" s="4"/>
      <c r="AO4" s="4"/>
      <c r="AP4" s="4"/>
      <c r="AQ4" s="4"/>
      <c r="AR4" s="8"/>
      <c r="AS4" s="8"/>
      <c r="AT4" s="4"/>
      <c r="AU4" s="4"/>
      <c r="AV4" s="4"/>
      <c r="AW4" s="4"/>
      <c r="BK4" s="11"/>
      <c r="BL4" s="11"/>
      <c r="BM4" s="4"/>
      <c r="BN4" s="4"/>
    </row>
    <row r="5" spans="1:66" s="14" customFormat="1" ht="22.15" customHeight="1" x14ac:dyDescent="0.25">
      <c r="A5" s="131" t="s">
        <v>1</v>
      </c>
      <c r="B5" s="131"/>
      <c r="C5" s="131"/>
      <c r="D5" s="131"/>
      <c r="E5" s="131"/>
      <c r="F5" s="131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3"/>
      <c r="W5" s="12"/>
      <c r="X5" s="12"/>
      <c r="Y5" s="12"/>
      <c r="Z5" s="12"/>
      <c r="AC5" s="7"/>
      <c r="AD5" s="7"/>
      <c r="AE5" s="7"/>
      <c r="AF5" s="7"/>
      <c r="AG5" s="7"/>
      <c r="AH5" s="7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BM5" s="12"/>
      <c r="BN5" s="12"/>
    </row>
    <row r="6" spans="1:66" s="6" customFormat="1" ht="19.149999999999999" customHeight="1" x14ac:dyDescent="0.25">
      <c r="A6" s="1"/>
      <c r="B6" s="15"/>
      <c r="C6" s="15"/>
      <c r="D6" s="16"/>
      <c r="F6" s="17" t="s">
        <v>2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5"/>
      <c r="W6" s="4"/>
      <c r="X6" s="4"/>
      <c r="Y6" s="4"/>
      <c r="Z6" s="4"/>
      <c r="AC6" s="7"/>
      <c r="AD6" s="7"/>
      <c r="AE6" s="7"/>
      <c r="AF6" s="7"/>
      <c r="AG6" s="7"/>
      <c r="AH6" s="7"/>
      <c r="AI6" s="4"/>
      <c r="AJ6" s="4"/>
      <c r="AK6" s="4"/>
      <c r="AL6" s="4"/>
      <c r="AM6" s="4"/>
      <c r="AN6" s="4"/>
      <c r="AO6" s="4"/>
      <c r="AP6" s="4"/>
      <c r="AQ6" s="4"/>
      <c r="AR6" s="8"/>
      <c r="AS6" s="8"/>
      <c r="AT6" s="4"/>
      <c r="AU6" s="4"/>
      <c r="AV6" s="4"/>
      <c r="AW6" s="4"/>
      <c r="AX6" s="17"/>
      <c r="BM6" s="4"/>
      <c r="BN6" s="4"/>
    </row>
    <row r="7" spans="1:66" s="6" customFormat="1" ht="28.9" customHeight="1" x14ac:dyDescent="0.25">
      <c r="A7" s="132" t="s">
        <v>3</v>
      </c>
      <c r="B7" s="133" t="s">
        <v>4</v>
      </c>
      <c r="C7" s="133"/>
      <c r="D7" s="134" t="s">
        <v>5</v>
      </c>
      <c r="E7" s="134" t="s">
        <v>6</v>
      </c>
      <c r="F7" s="134" t="s">
        <v>7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5"/>
      <c r="W7" s="4"/>
      <c r="X7" s="4"/>
      <c r="Y7" s="4"/>
      <c r="Z7" s="4"/>
      <c r="AC7" s="7"/>
      <c r="AD7" s="7"/>
      <c r="AE7" s="7"/>
      <c r="AF7" s="7"/>
      <c r="AG7" s="7"/>
      <c r="AH7" s="7"/>
      <c r="AI7" s="4"/>
      <c r="AJ7" s="4"/>
      <c r="AK7" s="4"/>
      <c r="AL7" s="4"/>
      <c r="AM7" s="4"/>
      <c r="AN7" s="4"/>
      <c r="AO7" s="4"/>
      <c r="AP7" s="4"/>
      <c r="AQ7" s="4"/>
      <c r="AR7" s="8"/>
      <c r="AS7" s="8"/>
      <c r="AT7" s="4"/>
      <c r="AU7" s="4"/>
      <c r="AV7" s="4"/>
      <c r="AW7" s="4"/>
      <c r="BM7" s="4"/>
      <c r="BN7" s="4"/>
    </row>
    <row r="8" spans="1:66" s="6" customFormat="1" ht="57" customHeight="1" x14ac:dyDescent="0.25">
      <c r="A8" s="132"/>
      <c r="B8" s="18" t="s">
        <v>8</v>
      </c>
      <c r="C8" s="18" t="s">
        <v>9</v>
      </c>
      <c r="D8" s="134"/>
      <c r="E8" s="134"/>
      <c r="F8" s="134"/>
      <c r="G8" s="19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5"/>
      <c r="W8" s="4"/>
      <c r="X8" s="4"/>
      <c r="Y8" s="4"/>
      <c r="Z8" s="4"/>
      <c r="AC8" s="7"/>
      <c r="AD8" s="7"/>
      <c r="AE8" s="7"/>
      <c r="AF8" s="7"/>
      <c r="AG8" s="7"/>
      <c r="AH8" s="7"/>
      <c r="AI8" s="4"/>
      <c r="AJ8" s="4"/>
      <c r="AK8" s="4"/>
      <c r="AL8" s="4"/>
      <c r="AM8" s="4"/>
      <c r="AN8" s="4"/>
      <c r="AO8" s="4"/>
      <c r="AP8" s="4"/>
      <c r="AQ8" s="4"/>
      <c r="AR8" s="8"/>
      <c r="AS8" s="8"/>
      <c r="AT8" s="4"/>
      <c r="AU8" s="4"/>
      <c r="AV8" s="4"/>
      <c r="AW8" s="4"/>
      <c r="BM8" s="4"/>
      <c r="BN8" s="4"/>
    </row>
    <row r="9" spans="1:66" s="6" customFormat="1" ht="18" customHeight="1" x14ac:dyDescent="0.25">
      <c r="A9" s="20" t="s">
        <v>10</v>
      </c>
      <c r="B9" s="21" t="s">
        <v>11</v>
      </c>
      <c r="C9" s="22" t="s">
        <v>12</v>
      </c>
      <c r="D9" s="23">
        <f>+D10+D17+D27+D42+D50+D61+D97+D107+D122+D131+D189+D58</f>
        <v>1081774864</v>
      </c>
      <c r="E9" s="23">
        <f>+E10+E17+E27+E42+E50+E61+E97+E107+E122+E131+E189</f>
        <v>969692764</v>
      </c>
      <c r="F9" s="23">
        <f>+F10+F17+F27+F42+F50+F61+F97+F107+F122+F131+F189</f>
        <v>1012651813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135"/>
      <c r="U9" s="135"/>
      <c r="V9" s="135"/>
      <c r="W9" s="4"/>
      <c r="X9" s="4"/>
      <c r="Y9" s="4"/>
      <c r="Z9" s="4"/>
      <c r="AC9" s="7"/>
      <c r="AD9" s="7"/>
      <c r="AE9" s="7"/>
      <c r="AF9" s="7"/>
      <c r="AG9" s="7"/>
      <c r="AH9" s="7"/>
      <c r="AI9" s="4"/>
      <c r="AJ9" s="4"/>
      <c r="AK9" s="4"/>
      <c r="AL9" s="4"/>
      <c r="AM9" s="4"/>
      <c r="AN9" s="4"/>
      <c r="AO9" s="4"/>
      <c r="AP9" s="4"/>
      <c r="AQ9" s="4"/>
      <c r="AR9" s="8"/>
      <c r="AS9" s="8"/>
      <c r="AT9" s="4"/>
      <c r="AU9" s="4"/>
      <c r="AV9" s="4"/>
      <c r="AW9" s="4"/>
      <c r="BM9" s="4"/>
      <c r="BN9" s="4"/>
    </row>
    <row r="10" spans="1:66" s="27" customFormat="1" ht="18" customHeight="1" x14ac:dyDescent="0.25">
      <c r="A10" s="20" t="s">
        <v>13</v>
      </c>
      <c r="B10" s="21" t="s">
        <v>11</v>
      </c>
      <c r="C10" s="24" t="s">
        <v>14</v>
      </c>
      <c r="D10" s="23">
        <f>+D11</f>
        <v>649599000</v>
      </c>
      <c r="E10" s="23">
        <f>+E11</f>
        <v>587945000</v>
      </c>
      <c r="F10" s="23">
        <f>+F11</f>
        <v>621267000</v>
      </c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6"/>
      <c r="U10" s="26"/>
      <c r="V10" s="26"/>
      <c r="W10" s="8"/>
      <c r="X10" s="8"/>
      <c r="Y10" s="25"/>
      <c r="Z10" s="25"/>
      <c r="AC10" s="28"/>
      <c r="AD10" s="28"/>
      <c r="AE10" s="28"/>
      <c r="AF10" s="28"/>
      <c r="AG10" s="28"/>
      <c r="AH10" s="28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BM10" s="25"/>
      <c r="BN10" s="25"/>
    </row>
    <row r="11" spans="1:66" s="30" customFormat="1" ht="18" customHeight="1" x14ac:dyDescent="0.2">
      <c r="A11" s="20" t="s">
        <v>15</v>
      </c>
      <c r="B11" s="21" t="s">
        <v>11</v>
      </c>
      <c r="C11" s="24" t="s">
        <v>16</v>
      </c>
      <c r="D11" s="23">
        <f>+D12+D13+D15+D14+D16</f>
        <v>649599000</v>
      </c>
      <c r="E11" s="23">
        <f t="shared" ref="E11:F11" si="0">+E12+E13+E15+E14+E16</f>
        <v>587945000</v>
      </c>
      <c r="F11" s="23">
        <f t="shared" si="0"/>
        <v>621267000</v>
      </c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135"/>
      <c r="U11" s="135"/>
      <c r="V11" s="135"/>
      <c r="W11" s="4"/>
      <c r="X11" s="4"/>
      <c r="Y11" s="29"/>
      <c r="Z11" s="29"/>
      <c r="AC11" s="28"/>
      <c r="AD11" s="28"/>
      <c r="AE11" s="28"/>
      <c r="AF11" s="28"/>
      <c r="AG11" s="28"/>
      <c r="AH11" s="28"/>
      <c r="AI11" s="29"/>
      <c r="AJ11" s="29"/>
      <c r="AK11" s="29"/>
      <c r="AL11" s="29"/>
      <c r="AM11" s="31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BM11" s="29"/>
      <c r="BN11" s="29"/>
    </row>
    <row r="12" spans="1:66" s="6" customFormat="1" ht="67.900000000000006" customHeight="1" x14ac:dyDescent="0.25">
      <c r="A12" s="32" t="s">
        <v>17</v>
      </c>
      <c r="B12" s="33" t="s">
        <v>18</v>
      </c>
      <c r="C12" s="33" t="s">
        <v>19</v>
      </c>
      <c r="D12" s="23">
        <f>590496000-2000000-7766000+2000000</f>
        <v>582730000</v>
      </c>
      <c r="E12" s="23">
        <v>548683000</v>
      </c>
      <c r="F12" s="23">
        <v>583799000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34"/>
      <c r="U12" s="34"/>
      <c r="V12" s="35"/>
      <c r="W12" s="4"/>
      <c r="X12" s="4"/>
      <c r="Y12" s="4"/>
      <c r="Z12" s="4"/>
      <c r="AC12" s="7"/>
      <c r="AD12" s="7"/>
      <c r="AE12" s="7"/>
      <c r="AF12" s="7"/>
      <c r="AG12" s="7"/>
      <c r="AH12" s="7"/>
      <c r="AI12" s="4"/>
      <c r="AJ12" s="4"/>
      <c r="AK12" s="4"/>
      <c r="AL12" s="4"/>
      <c r="AM12" s="34"/>
      <c r="AN12" s="4"/>
      <c r="AO12" s="4"/>
      <c r="AP12" s="4"/>
      <c r="AQ12" s="4"/>
      <c r="AR12" s="8"/>
      <c r="AS12" s="8"/>
      <c r="AT12" s="4"/>
      <c r="AU12" s="4"/>
      <c r="AV12" s="4"/>
      <c r="AW12" s="4"/>
      <c r="BM12" s="4"/>
      <c r="BN12" s="4"/>
    </row>
    <row r="13" spans="1:66" s="6" customFormat="1" ht="96.6" customHeight="1" x14ac:dyDescent="0.25">
      <c r="A13" s="32" t="s">
        <v>20</v>
      </c>
      <c r="B13" s="33" t="s">
        <v>18</v>
      </c>
      <c r="C13" s="33" t="s">
        <v>21</v>
      </c>
      <c r="D13" s="36">
        <f>2000000-400000</f>
        <v>1600000</v>
      </c>
      <c r="E13" s="23">
        <v>3870000</v>
      </c>
      <c r="F13" s="23">
        <v>3950000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5"/>
      <c r="W13" s="4"/>
      <c r="X13" s="4"/>
      <c r="Y13" s="4"/>
      <c r="Z13" s="4"/>
      <c r="AC13" s="7"/>
      <c r="AD13" s="7"/>
      <c r="AE13" s="7"/>
      <c r="AF13" s="7"/>
      <c r="AG13" s="7"/>
      <c r="AH13" s="7"/>
      <c r="AI13" s="4"/>
      <c r="AJ13" s="4"/>
      <c r="AK13" s="4"/>
      <c r="AL13" s="4"/>
      <c r="AM13" s="34"/>
      <c r="AN13" s="4"/>
      <c r="AO13" s="4"/>
      <c r="AP13" s="4"/>
      <c r="AQ13" s="4"/>
      <c r="AR13" s="8"/>
      <c r="AS13" s="8"/>
      <c r="AT13" s="4"/>
      <c r="AU13" s="4"/>
      <c r="AV13" s="4"/>
      <c r="AW13" s="4"/>
      <c r="BM13" s="4"/>
      <c r="BN13" s="4"/>
    </row>
    <row r="14" spans="1:66" s="6" customFormat="1" ht="41.45" customHeight="1" x14ac:dyDescent="0.25">
      <c r="A14" s="32" t="s">
        <v>22</v>
      </c>
      <c r="B14" s="33" t="s">
        <v>18</v>
      </c>
      <c r="C14" s="33" t="s">
        <v>23</v>
      </c>
      <c r="D14" s="23">
        <f>3411000+1600000+1289000</f>
        <v>6300000</v>
      </c>
      <c r="E14" s="23">
        <v>3432000</v>
      </c>
      <c r="F14" s="23">
        <v>3448000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5"/>
      <c r="W14" s="4"/>
      <c r="X14" s="4"/>
      <c r="Y14" s="4"/>
      <c r="Z14" s="4"/>
      <c r="AC14" s="7"/>
      <c r="AD14" s="7"/>
      <c r="AE14" s="7"/>
      <c r="AF14" s="7"/>
      <c r="AG14" s="7"/>
      <c r="AH14" s="7"/>
      <c r="AI14" s="4"/>
      <c r="AJ14" s="4"/>
      <c r="AK14" s="4"/>
      <c r="AL14" s="4"/>
      <c r="AM14" s="34"/>
      <c r="AN14" s="4"/>
      <c r="AO14" s="4"/>
      <c r="AP14" s="4"/>
      <c r="AQ14" s="4"/>
      <c r="AR14" s="8"/>
      <c r="AS14" s="8"/>
      <c r="AT14" s="4"/>
      <c r="AU14" s="4"/>
      <c r="AV14" s="4"/>
      <c r="AW14" s="4"/>
      <c r="BM14" s="4"/>
      <c r="BN14" s="4"/>
    </row>
    <row r="15" spans="1:66" s="6" customFormat="1" ht="81.599999999999994" customHeight="1" x14ac:dyDescent="0.25">
      <c r="A15" s="32" t="s">
        <v>24</v>
      </c>
      <c r="B15" s="33" t="s">
        <v>18</v>
      </c>
      <c r="C15" s="33" t="s">
        <v>25</v>
      </c>
      <c r="D15" s="23">
        <f>12300000-300000</f>
        <v>12000000</v>
      </c>
      <c r="E15" s="23">
        <v>9840000</v>
      </c>
      <c r="F15" s="23">
        <v>7870000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5"/>
      <c r="W15" s="4"/>
      <c r="X15" s="4"/>
      <c r="Y15" s="4"/>
      <c r="Z15" s="4"/>
      <c r="AC15" s="7"/>
      <c r="AD15" s="7"/>
      <c r="AE15" s="7"/>
      <c r="AF15" s="7"/>
      <c r="AG15" s="7"/>
      <c r="AH15" s="7"/>
      <c r="AI15" s="4"/>
      <c r="AJ15" s="4"/>
      <c r="AK15" s="4"/>
      <c r="AL15" s="4"/>
      <c r="AM15" s="34"/>
      <c r="AN15" s="4"/>
      <c r="AO15" s="4"/>
      <c r="AP15" s="4"/>
      <c r="AQ15" s="4"/>
      <c r="AR15" s="8"/>
      <c r="AS15" s="8"/>
      <c r="AT15" s="4"/>
      <c r="AU15" s="4"/>
      <c r="AV15" s="4"/>
      <c r="AW15" s="4"/>
      <c r="BM15" s="4"/>
      <c r="BN15" s="4"/>
    </row>
    <row r="16" spans="1:66" s="6" customFormat="1" ht="82.9" customHeight="1" x14ac:dyDescent="0.25">
      <c r="A16" s="32" t="s">
        <v>26</v>
      </c>
      <c r="B16" s="33" t="s">
        <v>18</v>
      </c>
      <c r="C16" s="33" t="s">
        <v>27</v>
      </c>
      <c r="D16" s="23">
        <f>44605000+200000+2164000</f>
        <v>46969000</v>
      </c>
      <c r="E16" s="23">
        <v>22120000</v>
      </c>
      <c r="F16" s="23">
        <v>22200000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5"/>
      <c r="W16" s="4"/>
      <c r="X16" s="4"/>
      <c r="Y16" s="4"/>
      <c r="Z16" s="4"/>
      <c r="AC16" s="7"/>
      <c r="AD16" s="7"/>
      <c r="AE16" s="7"/>
      <c r="AF16" s="7"/>
      <c r="AG16" s="7"/>
      <c r="AH16" s="7"/>
      <c r="AI16" s="4"/>
      <c r="AJ16" s="4"/>
      <c r="AK16" s="4"/>
      <c r="AL16" s="4"/>
      <c r="AM16" s="34"/>
      <c r="AN16" s="4"/>
      <c r="AO16" s="4"/>
      <c r="AP16" s="4"/>
      <c r="AQ16" s="4"/>
      <c r="AR16" s="8"/>
      <c r="AS16" s="8"/>
      <c r="AT16" s="4"/>
      <c r="AU16" s="4"/>
      <c r="AV16" s="4"/>
      <c r="AW16" s="4"/>
      <c r="BM16" s="4"/>
      <c r="BN16" s="4"/>
    </row>
    <row r="17" spans="1:66" s="6" customFormat="1" ht="29.45" customHeight="1" x14ac:dyDescent="0.25">
      <c r="A17" s="32" t="s">
        <v>28</v>
      </c>
      <c r="B17" s="33" t="s">
        <v>11</v>
      </c>
      <c r="C17" s="33" t="s">
        <v>29</v>
      </c>
      <c r="D17" s="23">
        <f>+D18</f>
        <v>11283410</v>
      </c>
      <c r="E17" s="23">
        <f>+E18</f>
        <v>10267280</v>
      </c>
      <c r="F17" s="23">
        <f>+F18</f>
        <v>10267280</v>
      </c>
      <c r="G17" s="37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5"/>
      <c r="W17" s="4"/>
      <c r="X17" s="4"/>
      <c r="Y17" s="4"/>
      <c r="Z17" s="4"/>
      <c r="AC17" s="7"/>
      <c r="AD17" s="7"/>
      <c r="AE17" s="7"/>
      <c r="AF17" s="7"/>
      <c r="AG17" s="7"/>
      <c r="AH17" s="7"/>
      <c r="AI17" s="4"/>
      <c r="AJ17" s="4"/>
      <c r="AK17" s="4"/>
      <c r="AL17" s="4"/>
      <c r="AM17" s="4"/>
      <c r="AN17" s="4"/>
      <c r="AO17" s="4"/>
      <c r="AP17" s="4"/>
      <c r="AQ17" s="4"/>
      <c r="AR17" s="8"/>
      <c r="AS17" s="8"/>
      <c r="AT17" s="4"/>
      <c r="AU17" s="4"/>
      <c r="AV17" s="4"/>
      <c r="AW17" s="4"/>
      <c r="BM17" s="4"/>
      <c r="BN17" s="4"/>
    </row>
    <row r="18" spans="1:66" s="6" customFormat="1" ht="30" customHeight="1" x14ac:dyDescent="0.25">
      <c r="A18" s="38" t="s">
        <v>30</v>
      </c>
      <c r="B18" s="33" t="s">
        <v>11</v>
      </c>
      <c r="C18" s="33" t="s">
        <v>31</v>
      </c>
      <c r="D18" s="23">
        <f>+D19+D21+D23+D25</f>
        <v>11283410</v>
      </c>
      <c r="E18" s="23">
        <f>+E19+E21+E23+E25</f>
        <v>10267280</v>
      </c>
      <c r="F18" s="23">
        <f>+F19+F21+F23+F25</f>
        <v>10267280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5"/>
      <c r="W18" s="4"/>
      <c r="X18" s="4"/>
      <c r="Y18" s="4"/>
      <c r="Z18" s="4"/>
      <c r="AC18" s="7"/>
      <c r="AD18" s="7"/>
      <c r="AE18" s="7"/>
      <c r="AF18" s="7"/>
      <c r="AG18" s="7"/>
      <c r="AH18" s="7"/>
      <c r="AI18" s="4"/>
      <c r="AJ18" s="4"/>
      <c r="AK18" s="4"/>
      <c r="AL18" s="4"/>
      <c r="AM18" s="136"/>
      <c r="AN18" s="4"/>
      <c r="AO18" s="4"/>
      <c r="AP18" s="4"/>
      <c r="AQ18" s="4"/>
      <c r="AR18" s="8"/>
      <c r="AS18" s="8"/>
      <c r="AT18" s="4"/>
      <c r="AU18" s="4"/>
      <c r="AV18" s="4"/>
      <c r="AW18" s="4"/>
      <c r="AX18" s="30"/>
      <c r="BM18" s="4"/>
      <c r="BN18" s="4"/>
    </row>
    <row r="19" spans="1:66" s="6" customFormat="1" ht="64.5" customHeight="1" x14ac:dyDescent="0.25">
      <c r="A19" s="38" t="s">
        <v>32</v>
      </c>
      <c r="B19" s="33" t="s">
        <v>11</v>
      </c>
      <c r="C19" s="33" t="s">
        <v>33</v>
      </c>
      <c r="D19" s="23">
        <f t="shared" ref="D19:F19" si="1">+D20</f>
        <v>5606460</v>
      </c>
      <c r="E19" s="23">
        <f t="shared" si="1"/>
        <v>4753570</v>
      </c>
      <c r="F19" s="23">
        <f t="shared" si="1"/>
        <v>4753570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5"/>
      <c r="W19" s="4"/>
      <c r="X19" s="4"/>
      <c r="Y19" s="4"/>
      <c r="Z19" s="4"/>
      <c r="AC19" s="7"/>
      <c r="AD19" s="7"/>
      <c r="AE19" s="7"/>
      <c r="AF19" s="7"/>
      <c r="AG19" s="7"/>
      <c r="AH19" s="7"/>
      <c r="AI19" s="4"/>
      <c r="AJ19" s="4"/>
      <c r="AK19" s="4"/>
      <c r="AL19" s="4"/>
      <c r="AM19" s="136"/>
      <c r="AN19" s="4"/>
      <c r="AO19" s="4"/>
      <c r="AP19" s="4"/>
      <c r="AQ19" s="4"/>
      <c r="AR19" s="8"/>
      <c r="AS19" s="8"/>
      <c r="AT19" s="4"/>
      <c r="AU19" s="4"/>
      <c r="AV19" s="4"/>
      <c r="AW19" s="4"/>
      <c r="BM19" s="4"/>
      <c r="BN19" s="4"/>
    </row>
    <row r="20" spans="1:66" s="6" customFormat="1" ht="95.45" customHeight="1" x14ac:dyDescent="0.25">
      <c r="A20" s="38" t="s">
        <v>34</v>
      </c>
      <c r="B20" s="39">
        <v>100</v>
      </c>
      <c r="C20" s="40" t="s">
        <v>35</v>
      </c>
      <c r="D20" s="41">
        <v>5606460</v>
      </c>
      <c r="E20" s="41">
        <f>4753570</f>
        <v>4753570</v>
      </c>
      <c r="F20" s="41">
        <f>4753570</f>
        <v>4753570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5"/>
      <c r="W20" s="4"/>
      <c r="X20" s="4"/>
      <c r="Y20" s="4"/>
      <c r="Z20" s="4"/>
      <c r="AC20" s="7"/>
      <c r="AD20" s="7"/>
      <c r="AE20" s="7"/>
      <c r="AF20" s="7"/>
      <c r="AG20" s="7"/>
      <c r="AH20" s="7"/>
      <c r="AI20" s="4"/>
      <c r="AJ20" s="4"/>
      <c r="AK20" s="4"/>
      <c r="AL20" s="4"/>
      <c r="AM20" s="136"/>
      <c r="AN20" s="4"/>
      <c r="AO20" s="4"/>
      <c r="AP20" s="4"/>
      <c r="AQ20" s="4"/>
      <c r="AR20" s="8"/>
      <c r="AS20" s="8"/>
      <c r="AT20" s="4"/>
      <c r="AU20" s="4"/>
      <c r="AV20" s="4"/>
      <c r="AW20" s="4"/>
      <c r="BM20" s="4"/>
      <c r="BN20" s="4"/>
    </row>
    <row r="21" spans="1:66" s="6" customFormat="1" ht="79.5" customHeight="1" x14ac:dyDescent="0.25">
      <c r="A21" s="38" t="s">
        <v>36</v>
      </c>
      <c r="B21" s="33" t="s">
        <v>11</v>
      </c>
      <c r="C21" s="33" t="s">
        <v>37</v>
      </c>
      <c r="D21" s="23">
        <f>+D22</f>
        <v>30750</v>
      </c>
      <c r="E21" s="23">
        <f>+E22</f>
        <v>26550</v>
      </c>
      <c r="F21" s="23">
        <f>+F22</f>
        <v>26550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5"/>
      <c r="W21" s="4"/>
      <c r="X21" s="4"/>
      <c r="Y21" s="4"/>
      <c r="Z21" s="4"/>
      <c r="AC21" s="7"/>
      <c r="AD21" s="7"/>
      <c r="AE21" s="7"/>
      <c r="AF21" s="7"/>
      <c r="AG21" s="7"/>
      <c r="AH21" s="7"/>
      <c r="AI21" s="4"/>
      <c r="AJ21" s="4"/>
      <c r="AK21" s="4"/>
      <c r="AL21" s="4"/>
      <c r="AM21" s="136"/>
      <c r="AN21" s="4"/>
      <c r="AO21" s="4"/>
      <c r="AP21" s="4"/>
      <c r="AQ21" s="4"/>
      <c r="AR21" s="8"/>
      <c r="AS21" s="8"/>
      <c r="AT21" s="4"/>
      <c r="AU21" s="4"/>
      <c r="AV21" s="4"/>
      <c r="AW21" s="4"/>
      <c r="BM21" s="4"/>
      <c r="BN21" s="4"/>
    </row>
    <row r="22" spans="1:66" s="6" customFormat="1" ht="109.15" customHeight="1" x14ac:dyDescent="0.25">
      <c r="A22" s="38" t="s">
        <v>38</v>
      </c>
      <c r="B22" s="40" t="s">
        <v>39</v>
      </c>
      <c r="C22" s="42" t="s">
        <v>40</v>
      </c>
      <c r="D22" s="41">
        <v>30750</v>
      </c>
      <c r="E22" s="41">
        <f>22477+4073</f>
        <v>26550</v>
      </c>
      <c r="F22" s="41">
        <f>22477+4073</f>
        <v>26550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5"/>
      <c r="W22" s="4"/>
      <c r="X22" s="4"/>
      <c r="Y22" s="4"/>
      <c r="Z22" s="4"/>
      <c r="AC22" s="7"/>
      <c r="AD22" s="7"/>
      <c r="AE22" s="7"/>
      <c r="AF22" s="7"/>
      <c r="AG22" s="7"/>
      <c r="AH22" s="7"/>
      <c r="AI22" s="4"/>
      <c r="AJ22" s="4"/>
      <c r="AK22" s="4"/>
      <c r="AL22" s="4"/>
      <c r="AM22" s="136"/>
      <c r="AN22" s="4"/>
      <c r="AO22" s="4"/>
      <c r="AP22" s="4"/>
      <c r="AQ22" s="4"/>
      <c r="AR22" s="8"/>
      <c r="AS22" s="8"/>
      <c r="AT22" s="4"/>
      <c r="AU22" s="4"/>
      <c r="AV22" s="4"/>
      <c r="AW22" s="4"/>
      <c r="BM22" s="4"/>
      <c r="BN22" s="4"/>
    </row>
    <row r="23" spans="1:66" s="6" customFormat="1" ht="60.75" customHeight="1" x14ac:dyDescent="0.25">
      <c r="A23" s="38" t="s">
        <v>41</v>
      </c>
      <c r="B23" s="33" t="s">
        <v>11</v>
      </c>
      <c r="C23" s="33" t="s">
        <v>42</v>
      </c>
      <c r="D23" s="23">
        <f>+D24</f>
        <v>6317850</v>
      </c>
      <c r="E23" s="23">
        <f>+E24</f>
        <v>6216950</v>
      </c>
      <c r="F23" s="23">
        <f>+F24</f>
        <v>6216950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5"/>
      <c r="W23" s="4"/>
      <c r="X23" s="4"/>
      <c r="Y23" s="4"/>
      <c r="Z23" s="4"/>
      <c r="AC23" s="7"/>
      <c r="AD23" s="7"/>
      <c r="AE23" s="7"/>
      <c r="AF23" s="7"/>
      <c r="AG23" s="7"/>
      <c r="AH23" s="7"/>
      <c r="AI23" s="4"/>
      <c r="AJ23" s="4"/>
      <c r="AK23" s="4"/>
      <c r="AL23" s="4"/>
      <c r="AM23" s="136"/>
      <c r="AN23" s="4"/>
      <c r="AO23" s="4"/>
      <c r="AP23" s="4"/>
      <c r="AQ23" s="4"/>
      <c r="AR23" s="8"/>
      <c r="AS23" s="8"/>
      <c r="AT23" s="4"/>
      <c r="AU23" s="4"/>
      <c r="AV23" s="4"/>
      <c r="AW23" s="4"/>
      <c r="BM23" s="4"/>
      <c r="BN23" s="4"/>
    </row>
    <row r="24" spans="1:66" s="6" customFormat="1" ht="96" customHeight="1" x14ac:dyDescent="0.25">
      <c r="A24" s="38" t="s">
        <v>43</v>
      </c>
      <c r="B24" s="33" t="s">
        <v>39</v>
      </c>
      <c r="C24" s="40" t="s">
        <v>44</v>
      </c>
      <c r="D24" s="41">
        <v>6317850</v>
      </c>
      <c r="E24" s="41">
        <f>5901751+315199</f>
        <v>6216950</v>
      </c>
      <c r="F24" s="41">
        <f>5901751+315199</f>
        <v>6216950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5"/>
      <c r="W24" s="4"/>
      <c r="X24" s="4"/>
      <c r="Y24" s="4"/>
      <c r="Z24" s="4"/>
      <c r="AC24" s="7"/>
      <c r="AD24" s="7"/>
      <c r="AE24" s="7"/>
      <c r="AF24" s="7"/>
      <c r="AG24" s="7"/>
      <c r="AH24" s="7"/>
      <c r="AI24" s="4"/>
      <c r="AJ24" s="4"/>
      <c r="AK24" s="4"/>
      <c r="AL24" s="4"/>
      <c r="AM24" s="136"/>
      <c r="AN24" s="4"/>
      <c r="AO24" s="4"/>
      <c r="AP24" s="4"/>
      <c r="AQ24" s="4"/>
      <c r="AR24" s="8"/>
      <c r="AS24" s="8"/>
      <c r="AT24" s="4"/>
      <c r="AU24" s="4"/>
      <c r="AV24" s="4"/>
      <c r="AW24" s="4"/>
      <c r="BM24" s="4"/>
      <c r="BN24" s="4"/>
    </row>
    <row r="25" spans="1:66" s="6" customFormat="1" ht="63" customHeight="1" x14ac:dyDescent="0.25">
      <c r="A25" s="38" t="s">
        <v>45</v>
      </c>
      <c r="B25" s="33" t="s">
        <v>11</v>
      </c>
      <c r="C25" s="33" t="s">
        <v>46</v>
      </c>
      <c r="D25" s="23">
        <f>+D26</f>
        <v>-671650</v>
      </c>
      <c r="E25" s="23">
        <f>+E26</f>
        <v>-729790</v>
      </c>
      <c r="F25" s="23">
        <f>+F26</f>
        <v>-729790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5"/>
      <c r="W25" s="4"/>
      <c r="X25" s="4"/>
      <c r="Y25" s="4"/>
      <c r="Z25" s="4"/>
      <c r="AC25" s="7"/>
      <c r="AD25" s="7"/>
      <c r="AE25" s="7"/>
      <c r="AF25" s="7"/>
      <c r="AG25" s="7"/>
      <c r="AH25" s="7"/>
      <c r="AI25" s="4"/>
      <c r="AJ25" s="4"/>
      <c r="AK25" s="4"/>
      <c r="AL25" s="4"/>
      <c r="AM25" s="136"/>
      <c r="AN25" s="4"/>
      <c r="AO25" s="4"/>
      <c r="AP25" s="4"/>
      <c r="AQ25" s="4"/>
      <c r="AR25" s="8"/>
      <c r="AS25" s="8"/>
      <c r="AT25" s="4"/>
      <c r="AU25" s="4"/>
      <c r="AV25" s="4"/>
      <c r="AW25" s="4"/>
      <c r="BM25" s="4"/>
      <c r="BN25" s="4"/>
    </row>
    <row r="26" spans="1:66" s="6" customFormat="1" ht="94.15" customHeight="1" x14ac:dyDescent="0.25">
      <c r="A26" s="38" t="s">
        <v>47</v>
      </c>
      <c r="B26" s="33" t="s">
        <v>39</v>
      </c>
      <c r="C26" s="40" t="s">
        <v>48</v>
      </c>
      <c r="D26" s="41">
        <v>-671650</v>
      </c>
      <c r="E26" s="41">
        <f>-578611-151179</f>
        <v>-729790</v>
      </c>
      <c r="F26" s="41">
        <f>-578611-151179</f>
        <v>-729790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5"/>
      <c r="W26" s="4"/>
      <c r="X26" s="4"/>
      <c r="Y26" s="4"/>
      <c r="Z26" s="4"/>
      <c r="AC26" s="7"/>
      <c r="AD26" s="7"/>
      <c r="AE26" s="7"/>
      <c r="AF26" s="7"/>
      <c r="AG26" s="7"/>
      <c r="AH26" s="7"/>
      <c r="AI26" s="4"/>
      <c r="AJ26" s="4"/>
      <c r="AK26" s="4"/>
      <c r="AL26" s="4"/>
      <c r="AM26" s="136"/>
      <c r="AN26" s="4"/>
      <c r="AO26" s="4"/>
      <c r="AP26" s="4"/>
      <c r="AQ26" s="4"/>
      <c r="AR26" s="8"/>
      <c r="AS26" s="8"/>
      <c r="AT26" s="4"/>
      <c r="AU26" s="4"/>
      <c r="AV26" s="4"/>
      <c r="AW26" s="4"/>
      <c r="BM26" s="4"/>
      <c r="BN26" s="4"/>
    </row>
    <row r="27" spans="1:66" s="30" customFormat="1" ht="19.149999999999999" customHeight="1" x14ac:dyDescent="0.2">
      <c r="A27" s="20" t="s">
        <v>49</v>
      </c>
      <c r="B27" s="33" t="s">
        <v>11</v>
      </c>
      <c r="C27" s="24" t="s">
        <v>50</v>
      </c>
      <c r="D27" s="23">
        <f>+D40+D28+D35+D38</f>
        <v>168286474.29000002</v>
      </c>
      <c r="E27" s="23">
        <f t="shared" ref="E27:F27" si="2">+E40+E28+E35</f>
        <v>138119000</v>
      </c>
      <c r="F27" s="23">
        <f t="shared" si="2"/>
        <v>139853000</v>
      </c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4"/>
      <c r="U27" s="4"/>
      <c r="V27" s="5"/>
      <c r="W27" s="4"/>
      <c r="X27" s="4"/>
      <c r="Y27" s="29"/>
      <c r="Z27" s="29"/>
      <c r="AC27" s="28"/>
      <c r="AD27" s="28"/>
      <c r="AE27" s="28"/>
      <c r="AF27" s="28"/>
      <c r="AG27" s="28"/>
      <c r="AH27" s="28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BM27" s="29"/>
      <c r="BN27" s="29"/>
    </row>
    <row r="28" spans="1:66" s="30" customFormat="1" ht="28.9" customHeight="1" x14ac:dyDescent="0.2">
      <c r="A28" s="38" t="s">
        <v>51</v>
      </c>
      <c r="B28" s="33" t="s">
        <v>11</v>
      </c>
      <c r="C28" s="43" t="s">
        <v>52</v>
      </c>
      <c r="D28" s="23">
        <f>+D29+D32+D34</f>
        <v>148839595.74000001</v>
      </c>
      <c r="E28" s="23">
        <f>+E29+E32</f>
        <v>116419000</v>
      </c>
      <c r="F28" s="23">
        <f>+F29+F32</f>
        <v>117703000</v>
      </c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4"/>
      <c r="U28" s="4"/>
      <c r="V28" s="5"/>
      <c r="W28" s="4"/>
      <c r="X28" s="4"/>
      <c r="Y28" s="29"/>
      <c r="Z28" s="29"/>
      <c r="AC28" s="28"/>
      <c r="AD28" s="28"/>
      <c r="AE28" s="28"/>
      <c r="AF28" s="28"/>
      <c r="AG28" s="28"/>
      <c r="AH28" s="28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BM28" s="29"/>
      <c r="BN28" s="29"/>
    </row>
    <row r="29" spans="1:66" s="30" customFormat="1" ht="30" customHeight="1" x14ac:dyDescent="0.2">
      <c r="A29" s="38" t="s">
        <v>53</v>
      </c>
      <c r="B29" s="33" t="s">
        <v>11</v>
      </c>
      <c r="C29" s="43" t="s">
        <v>54</v>
      </c>
      <c r="D29" s="23">
        <f>+D30+D31</f>
        <v>90699590.120000005</v>
      </c>
      <c r="E29" s="23">
        <f t="shared" ref="E29:F29" si="3">+E30+E31</f>
        <v>72475000</v>
      </c>
      <c r="F29" s="23">
        <f t="shared" si="3"/>
        <v>73122000</v>
      </c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4"/>
      <c r="U29" s="4"/>
      <c r="V29" s="5"/>
      <c r="W29" s="4"/>
      <c r="X29" s="4"/>
      <c r="Y29" s="29"/>
      <c r="Z29" s="29"/>
      <c r="AC29" s="28"/>
      <c r="AD29" s="28"/>
      <c r="AE29" s="28"/>
      <c r="AF29" s="28"/>
      <c r="AG29" s="28"/>
      <c r="AH29" s="28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BM29" s="29"/>
      <c r="BN29" s="29"/>
    </row>
    <row r="30" spans="1:66" s="30" customFormat="1" ht="27" customHeight="1" x14ac:dyDescent="0.2">
      <c r="A30" s="38" t="s">
        <v>53</v>
      </c>
      <c r="B30" s="33" t="s">
        <v>18</v>
      </c>
      <c r="C30" s="43" t="s">
        <v>55</v>
      </c>
      <c r="D30" s="23">
        <f>71962000+18730000</f>
        <v>90692000</v>
      </c>
      <c r="E30" s="23">
        <v>72475000</v>
      </c>
      <c r="F30" s="23">
        <v>73122000</v>
      </c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4"/>
      <c r="U30" s="4"/>
      <c r="V30" s="5"/>
      <c r="W30" s="4"/>
      <c r="X30" s="4"/>
      <c r="Y30" s="29"/>
      <c r="Z30" s="29"/>
      <c r="AC30" s="28"/>
      <c r="AD30" s="28"/>
      <c r="AE30" s="28"/>
      <c r="AF30" s="28"/>
      <c r="AG30" s="28"/>
      <c r="AH30" s="28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BM30" s="29"/>
      <c r="BN30" s="29"/>
    </row>
    <row r="31" spans="1:66" s="30" customFormat="1" ht="42" customHeight="1" x14ac:dyDescent="0.2">
      <c r="A31" s="38" t="s">
        <v>56</v>
      </c>
      <c r="B31" s="33" t="s">
        <v>18</v>
      </c>
      <c r="C31" s="43" t="s">
        <v>57</v>
      </c>
      <c r="D31" s="23">
        <v>7590.12</v>
      </c>
      <c r="E31" s="23">
        <v>0</v>
      </c>
      <c r="F31" s="23">
        <v>0</v>
      </c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4"/>
      <c r="U31" s="4"/>
      <c r="V31" s="5"/>
      <c r="W31" s="4"/>
      <c r="X31" s="4"/>
      <c r="Y31" s="29"/>
      <c r="Z31" s="29"/>
      <c r="AC31" s="28"/>
      <c r="AD31" s="28"/>
      <c r="AE31" s="28"/>
      <c r="AF31" s="28"/>
      <c r="AG31" s="28"/>
      <c r="AH31" s="28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BM31" s="29"/>
      <c r="BN31" s="29"/>
    </row>
    <row r="32" spans="1:66" s="30" customFormat="1" ht="42" customHeight="1" x14ac:dyDescent="0.2">
      <c r="A32" s="38" t="s">
        <v>58</v>
      </c>
      <c r="B32" s="33" t="s">
        <v>11</v>
      </c>
      <c r="C32" s="43" t="s">
        <v>59</v>
      </c>
      <c r="D32" s="23">
        <f>+D33</f>
        <v>58140000</v>
      </c>
      <c r="E32" s="23">
        <f>+E33</f>
        <v>43944000</v>
      </c>
      <c r="F32" s="23">
        <f>+F33</f>
        <v>44581000</v>
      </c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4"/>
      <c r="U32" s="4"/>
      <c r="V32" s="5"/>
      <c r="W32" s="4"/>
      <c r="X32" s="4"/>
      <c r="Y32" s="29"/>
      <c r="Z32" s="29"/>
      <c r="AC32" s="28"/>
      <c r="AD32" s="28"/>
      <c r="AE32" s="28"/>
      <c r="AF32" s="28"/>
      <c r="AG32" s="28"/>
      <c r="AH32" s="28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BM32" s="29"/>
      <c r="BN32" s="29"/>
    </row>
    <row r="33" spans="1:66" s="30" customFormat="1" ht="56.45" customHeight="1" x14ac:dyDescent="0.2">
      <c r="A33" s="38" t="s">
        <v>60</v>
      </c>
      <c r="B33" s="33" t="s">
        <v>18</v>
      </c>
      <c r="C33" s="43" t="s">
        <v>61</v>
      </c>
      <c r="D33" s="23">
        <f>42630000+11870000+3600000+40000</f>
        <v>58140000</v>
      </c>
      <c r="E33" s="23">
        <v>43944000</v>
      </c>
      <c r="F33" s="23">
        <v>44581000</v>
      </c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4"/>
      <c r="U33" s="4"/>
      <c r="V33" s="5"/>
      <c r="W33" s="4"/>
      <c r="X33" s="4"/>
      <c r="Y33" s="29"/>
      <c r="Z33" s="29"/>
      <c r="AC33" s="28"/>
      <c r="AD33" s="28"/>
      <c r="AE33" s="28"/>
      <c r="AF33" s="28"/>
      <c r="AG33" s="28"/>
      <c r="AH33" s="28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BM33" s="29"/>
      <c r="BN33" s="29"/>
    </row>
    <row r="34" spans="1:66" s="30" customFormat="1" ht="39" customHeight="1" x14ac:dyDescent="0.2">
      <c r="A34" s="38" t="s">
        <v>62</v>
      </c>
      <c r="B34" s="33" t="s">
        <v>18</v>
      </c>
      <c r="C34" s="43" t="s">
        <v>63</v>
      </c>
      <c r="D34" s="23">
        <v>5.62</v>
      </c>
      <c r="E34" s="23">
        <v>0</v>
      </c>
      <c r="F34" s="23">
        <v>0</v>
      </c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4"/>
      <c r="U34" s="4"/>
      <c r="V34" s="5"/>
      <c r="W34" s="4"/>
      <c r="X34" s="4"/>
      <c r="Y34" s="29"/>
      <c r="Z34" s="29"/>
      <c r="AC34" s="28"/>
      <c r="AD34" s="28"/>
      <c r="AE34" s="28"/>
      <c r="AF34" s="28"/>
      <c r="AG34" s="28"/>
      <c r="AH34" s="28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BM34" s="29"/>
      <c r="BN34" s="29"/>
    </row>
    <row r="35" spans="1:66" s="6" customFormat="1" ht="28.9" customHeight="1" x14ac:dyDescent="0.25">
      <c r="A35" s="38" t="s">
        <v>64</v>
      </c>
      <c r="B35" s="33" t="s">
        <v>11</v>
      </c>
      <c r="C35" s="44" t="s">
        <v>65</v>
      </c>
      <c r="D35" s="23">
        <f>+D36+D37</f>
        <v>220378.55</v>
      </c>
      <c r="E35" s="23">
        <f t="shared" ref="E35:F35" si="4">+E36+E37</f>
        <v>0</v>
      </c>
      <c r="F35" s="23">
        <f t="shared" si="4"/>
        <v>0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5"/>
      <c r="W35" s="4"/>
      <c r="X35" s="4"/>
      <c r="Y35" s="4"/>
      <c r="Z35" s="4"/>
      <c r="AC35" s="7"/>
      <c r="AD35" s="7"/>
      <c r="AE35" s="7"/>
      <c r="AF35" s="7"/>
      <c r="AG35" s="7"/>
      <c r="AH35" s="7"/>
      <c r="AI35" s="4"/>
      <c r="AJ35" s="4"/>
      <c r="AK35" s="4"/>
      <c r="AL35" s="4"/>
      <c r="AM35" s="45"/>
      <c r="AN35" s="4"/>
      <c r="AO35" s="4"/>
      <c r="AP35" s="4"/>
      <c r="AQ35" s="4"/>
      <c r="AR35" s="8"/>
      <c r="AS35" s="8"/>
      <c r="AT35" s="4"/>
      <c r="AU35" s="4"/>
      <c r="AV35" s="4"/>
      <c r="AW35" s="4"/>
      <c r="BM35" s="4"/>
      <c r="BN35" s="4"/>
    </row>
    <row r="36" spans="1:66" s="6" customFormat="1" ht="28.9" customHeight="1" x14ac:dyDescent="0.25">
      <c r="A36" s="38" t="s">
        <v>64</v>
      </c>
      <c r="B36" s="33" t="s">
        <v>18</v>
      </c>
      <c r="C36" s="44" t="s">
        <v>66</v>
      </c>
      <c r="D36" s="23">
        <f>305813.67-1500-89000+5000</f>
        <v>220313.66999999998</v>
      </c>
      <c r="E36" s="23">
        <v>0</v>
      </c>
      <c r="F36" s="23">
        <v>0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5"/>
      <c r="W36" s="4"/>
      <c r="X36" s="4"/>
      <c r="Y36" s="4"/>
      <c r="Z36" s="4"/>
      <c r="AC36" s="7"/>
      <c r="AD36" s="7"/>
      <c r="AE36" s="7"/>
      <c r="AF36" s="7"/>
      <c r="AG36" s="7"/>
      <c r="AH36" s="7"/>
      <c r="AI36" s="4"/>
      <c r="AJ36" s="4"/>
      <c r="AK36" s="4"/>
      <c r="AL36" s="4"/>
      <c r="AM36" s="45"/>
      <c r="AN36" s="4"/>
      <c r="AO36" s="4"/>
      <c r="AP36" s="4"/>
      <c r="AQ36" s="4"/>
      <c r="AR36" s="8"/>
      <c r="AS36" s="8"/>
      <c r="AT36" s="4"/>
      <c r="AU36" s="4"/>
      <c r="AV36" s="4"/>
      <c r="AW36" s="4"/>
      <c r="BM36" s="4"/>
      <c r="BN36" s="4"/>
    </row>
    <row r="37" spans="1:66" s="6" customFormat="1" ht="39" customHeight="1" x14ac:dyDescent="0.25">
      <c r="A37" s="38" t="s">
        <v>67</v>
      </c>
      <c r="B37" s="33" t="s">
        <v>18</v>
      </c>
      <c r="C37" s="44" t="s">
        <v>68</v>
      </c>
      <c r="D37" s="23">
        <v>64.88</v>
      </c>
      <c r="E37" s="23">
        <v>0</v>
      </c>
      <c r="F37" s="23">
        <v>0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5"/>
      <c r="W37" s="4"/>
      <c r="X37" s="4"/>
      <c r="Y37" s="4"/>
      <c r="Z37" s="4"/>
      <c r="AC37" s="7"/>
      <c r="AD37" s="7"/>
      <c r="AE37" s="7"/>
      <c r="AF37" s="7"/>
      <c r="AG37" s="7"/>
      <c r="AH37" s="7"/>
      <c r="AI37" s="4"/>
      <c r="AJ37" s="4"/>
      <c r="AK37" s="4"/>
      <c r="AL37" s="4"/>
      <c r="AM37" s="45"/>
      <c r="AN37" s="4"/>
      <c r="AO37" s="4"/>
      <c r="AP37" s="4"/>
      <c r="AQ37" s="4"/>
      <c r="AR37" s="8"/>
      <c r="AS37" s="8"/>
      <c r="AT37" s="4"/>
      <c r="AU37" s="4"/>
      <c r="AV37" s="4"/>
      <c r="AW37" s="4"/>
      <c r="BM37" s="4"/>
      <c r="BN37" s="4"/>
    </row>
    <row r="38" spans="1:66" s="6" customFormat="1" x14ac:dyDescent="0.25">
      <c r="A38" s="46" t="s">
        <v>69</v>
      </c>
      <c r="B38" s="33" t="s">
        <v>11</v>
      </c>
      <c r="C38" s="47" t="s">
        <v>70</v>
      </c>
      <c r="D38" s="23">
        <f>+D39</f>
        <v>26500</v>
      </c>
      <c r="E38" s="23">
        <f t="shared" ref="E38:F38" si="5">+E39</f>
        <v>0</v>
      </c>
      <c r="F38" s="23">
        <f t="shared" si="5"/>
        <v>0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5"/>
      <c r="W38" s="4"/>
      <c r="X38" s="4"/>
      <c r="Y38" s="4"/>
      <c r="Z38" s="4"/>
      <c r="AC38" s="7"/>
      <c r="AD38" s="7"/>
      <c r="AE38" s="7"/>
      <c r="AF38" s="7"/>
      <c r="AG38" s="7"/>
      <c r="AH38" s="7"/>
      <c r="AI38" s="4"/>
      <c r="AJ38" s="4"/>
      <c r="AK38" s="4"/>
      <c r="AL38" s="4"/>
      <c r="AM38" s="45"/>
      <c r="AN38" s="4"/>
      <c r="AO38" s="4"/>
      <c r="AP38" s="4"/>
      <c r="AQ38" s="4"/>
      <c r="AR38" s="8"/>
      <c r="AS38" s="8"/>
      <c r="AT38" s="4"/>
      <c r="AU38" s="4"/>
      <c r="AV38" s="4"/>
      <c r="AW38" s="4"/>
      <c r="BM38" s="4"/>
      <c r="BN38" s="4"/>
    </row>
    <row r="39" spans="1:66" s="6" customFormat="1" x14ac:dyDescent="0.25">
      <c r="A39" s="46" t="s">
        <v>69</v>
      </c>
      <c r="B39" s="33" t="s">
        <v>18</v>
      </c>
      <c r="C39" s="47" t="s">
        <v>71</v>
      </c>
      <c r="D39" s="23">
        <f>25000+1500</f>
        <v>26500</v>
      </c>
      <c r="E39" s="23">
        <v>0</v>
      </c>
      <c r="F39" s="23">
        <v>0</v>
      </c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5"/>
      <c r="W39" s="4"/>
      <c r="X39" s="4"/>
      <c r="Y39" s="4"/>
      <c r="Z39" s="4"/>
      <c r="AC39" s="7"/>
      <c r="AD39" s="7"/>
      <c r="AE39" s="7"/>
      <c r="AF39" s="7"/>
      <c r="AG39" s="7"/>
      <c r="AH39" s="7"/>
      <c r="AI39" s="4"/>
      <c r="AJ39" s="4"/>
      <c r="AK39" s="4"/>
      <c r="AL39" s="4"/>
      <c r="AM39" s="45"/>
      <c r="AN39" s="4"/>
      <c r="AO39" s="4"/>
      <c r="AP39" s="4"/>
      <c r="AQ39" s="4"/>
      <c r="AR39" s="8"/>
      <c r="AS39" s="8"/>
      <c r="AT39" s="4"/>
      <c r="AU39" s="4"/>
      <c r="AV39" s="4"/>
      <c r="AW39" s="4"/>
      <c r="BM39" s="4"/>
      <c r="BN39" s="4"/>
    </row>
    <row r="40" spans="1:66" s="6" customFormat="1" ht="26.45" customHeight="1" x14ac:dyDescent="0.25">
      <c r="A40" s="38" t="s">
        <v>72</v>
      </c>
      <c r="B40" s="33" t="s">
        <v>11</v>
      </c>
      <c r="C40" s="44" t="s">
        <v>73</v>
      </c>
      <c r="D40" s="23">
        <f>+D41</f>
        <v>19200000</v>
      </c>
      <c r="E40" s="23">
        <f>+E41</f>
        <v>21700000</v>
      </c>
      <c r="F40" s="23">
        <f>+F41</f>
        <v>22150000</v>
      </c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5"/>
      <c r="W40" s="4"/>
      <c r="X40" s="4"/>
      <c r="Y40" s="4"/>
      <c r="Z40" s="4"/>
      <c r="AC40" s="7"/>
      <c r="AD40" s="7"/>
      <c r="AE40" s="7"/>
      <c r="AF40" s="7"/>
      <c r="AG40" s="7"/>
      <c r="AH40" s="7"/>
      <c r="AI40" s="4"/>
      <c r="AJ40" s="4"/>
      <c r="AK40" s="4"/>
      <c r="AL40" s="4"/>
      <c r="AM40" s="4"/>
      <c r="AN40" s="4"/>
      <c r="AO40" s="4"/>
      <c r="AP40" s="4"/>
      <c r="AQ40" s="4"/>
      <c r="AR40" s="8"/>
      <c r="AS40" s="8"/>
      <c r="AT40" s="4"/>
      <c r="AU40" s="4"/>
      <c r="AV40" s="4"/>
      <c r="AW40" s="4"/>
      <c r="BM40" s="4"/>
      <c r="BN40" s="4"/>
    </row>
    <row r="41" spans="1:66" s="6" customFormat="1" ht="28.9" customHeight="1" x14ac:dyDescent="0.25">
      <c r="A41" s="38" t="s">
        <v>74</v>
      </c>
      <c r="B41" s="33" t="s">
        <v>18</v>
      </c>
      <c r="C41" s="44" t="s">
        <v>75</v>
      </c>
      <c r="D41" s="23">
        <f>21200000-2000000</f>
        <v>19200000</v>
      </c>
      <c r="E41" s="23">
        <v>21700000</v>
      </c>
      <c r="F41" s="23">
        <v>22150000</v>
      </c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5"/>
      <c r="W41" s="4"/>
      <c r="X41" s="4"/>
      <c r="Y41" s="4"/>
      <c r="Z41" s="4"/>
      <c r="AC41" s="7"/>
      <c r="AD41" s="7"/>
      <c r="AE41" s="7"/>
      <c r="AF41" s="7"/>
      <c r="AG41" s="7"/>
      <c r="AH41" s="7"/>
      <c r="AI41" s="4"/>
      <c r="AJ41" s="4"/>
      <c r="AK41" s="4"/>
      <c r="AL41" s="4"/>
      <c r="AM41" s="45"/>
      <c r="AN41" s="4"/>
      <c r="AO41" s="4"/>
      <c r="AP41" s="4"/>
      <c r="AQ41" s="4"/>
      <c r="AR41" s="8"/>
      <c r="AS41" s="8"/>
      <c r="AT41" s="4"/>
      <c r="AU41" s="4"/>
      <c r="AV41" s="4"/>
      <c r="AW41" s="4"/>
      <c r="BM41" s="4"/>
      <c r="BN41" s="4"/>
    </row>
    <row r="42" spans="1:66" s="30" customFormat="1" ht="15.6" customHeight="1" x14ac:dyDescent="0.2">
      <c r="A42" s="20" t="s">
        <v>76</v>
      </c>
      <c r="B42" s="33" t="s">
        <v>11</v>
      </c>
      <c r="C42" s="24" t="s">
        <v>77</v>
      </c>
      <c r="D42" s="23">
        <f>+D43+D45</f>
        <v>60055000</v>
      </c>
      <c r="E42" s="23">
        <f t="shared" ref="E42:F42" si="6">+E43+E45</f>
        <v>75725000</v>
      </c>
      <c r="F42" s="23">
        <f t="shared" si="6"/>
        <v>78592000</v>
      </c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4"/>
      <c r="U42" s="4"/>
      <c r="V42" s="5"/>
      <c r="W42" s="4"/>
      <c r="X42" s="4"/>
      <c r="Y42" s="29"/>
      <c r="Z42" s="29"/>
      <c r="AC42" s="28"/>
      <c r="AD42" s="28"/>
      <c r="AE42" s="28"/>
      <c r="AF42" s="28"/>
      <c r="AG42" s="28"/>
      <c r="AH42" s="28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BM42" s="29"/>
      <c r="BN42" s="29"/>
    </row>
    <row r="43" spans="1:66" s="6" customFormat="1" ht="16.899999999999999" customHeight="1" x14ac:dyDescent="0.25">
      <c r="A43" s="38" t="s">
        <v>78</v>
      </c>
      <c r="B43" s="33" t="s">
        <v>11</v>
      </c>
      <c r="C43" s="24" t="s">
        <v>79</v>
      </c>
      <c r="D43" s="23">
        <f>+D44</f>
        <v>15500000</v>
      </c>
      <c r="E43" s="23">
        <f>+E44</f>
        <v>14250000</v>
      </c>
      <c r="F43" s="23">
        <f>+F44</f>
        <v>16500000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5"/>
      <c r="W43" s="4"/>
      <c r="X43" s="4"/>
      <c r="Y43" s="4"/>
      <c r="Z43" s="4"/>
      <c r="AC43" s="7"/>
      <c r="AD43" s="7"/>
      <c r="AE43" s="7"/>
      <c r="AF43" s="7"/>
      <c r="AG43" s="7"/>
      <c r="AH43" s="7"/>
      <c r="AI43" s="4"/>
      <c r="AJ43" s="4"/>
      <c r="AK43" s="4"/>
      <c r="AL43" s="4"/>
      <c r="AM43" s="4"/>
      <c r="AN43" s="4"/>
      <c r="AO43" s="4"/>
      <c r="AP43" s="4"/>
      <c r="AQ43" s="4"/>
      <c r="AR43" s="8"/>
      <c r="AS43" s="8"/>
      <c r="AT43" s="4"/>
      <c r="AU43" s="4"/>
      <c r="AV43" s="4"/>
      <c r="AW43" s="4"/>
      <c r="BM43" s="4"/>
      <c r="BN43" s="4"/>
    </row>
    <row r="44" spans="1:66" s="6" customFormat="1" ht="42" customHeight="1" x14ac:dyDescent="0.25">
      <c r="A44" s="38" t="s">
        <v>80</v>
      </c>
      <c r="B44" s="33" t="s">
        <v>18</v>
      </c>
      <c r="C44" s="24" t="s">
        <v>81</v>
      </c>
      <c r="D44" s="23">
        <f>12050000+1800000+89000+1561000</f>
        <v>15500000</v>
      </c>
      <c r="E44" s="23">
        <v>14250000</v>
      </c>
      <c r="F44" s="23">
        <v>16500000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5"/>
      <c r="W44" s="4"/>
      <c r="X44" s="4"/>
      <c r="Y44" s="4"/>
      <c r="Z44" s="4"/>
      <c r="AC44" s="7"/>
      <c r="AD44" s="7"/>
      <c r="AE44" s="7"/>
      <c r="AF44" s="7"/>
      <c r="AG44" s="7"/>
      <c r="AH44" s="7"/>
      <c r="AI44" s="4"/>
      <c r="AJ44" s="4"/>
      <c r="AK44" s="4"/>
      <c r="AL44" s="4"/>
      <c r="AM44" s="45"/>
      <c r="AN44" s="4"/>
      <c r="AO44" s="4"/>
      <c r="AP44" s="4"/>
      <c r="AQ44" s="4"/>
      <c r="AR44" s="8"/>
      <c r="AS44" s="8"/>
      <c r="AT44" s="4"/>
      <c r="AU44" s="4"/>
      <c r="AV44" s="4"/>
      <c r="AW44" s="4"/>
      <c r="BM44" s="4"/>
      <c r="BN44" s="4"/>
    </row>
    <row r="45" spans="1:66" s="6" customFormat="1" ht="16.899999999999999" customHeight="1" x14ac:dyDescent="0.25">
      <c r="A45" s="38" t="s">
        <v>82</v>
      </c>
      <c r="B45" s="33" t="s">
        <v>11</v>
      </c>
      <c r="C45" s="33" t="s">
        <v>83</v>
      </c>
      <c r="D45" s="23">
        <f>+D46+D48</f>
        <v>44555000</v>
      </c>
      <c r="E45" s="23">
        <f>+E46+E48</f>
        <v>61475000</v>
      </c>
      <c r="F45" s="23">
        <f>+F46+F48</f>
        <v>62092000</v>
      </c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5"/>
      <c r="W45" s="4"/>
      <c r="X45" s="4"/>
      <c r="Y45" s="4"/>
      <c r="Z45" s="4"/>
      <c r="AC45" s="7"/>
      <c r="AD45" s="7"/>
      <c r="AE45" s="7"/>
      <c r="AF45" s="7"/>
      <c r="AG45" s="7"/>
      <c r="AH45" s="7"/>
      <c r="AI45" s="4"/>
      <c r="AJ45" s="4"/>
      <c r="AK45" s="4"/>
      <c r="AL45" s="4"/>
      <c r="AM45" s="4"/>
      <c r="AN45" s="4"/>
      <c r="AO45" s="4"/>
      <c r="AP45" s="4"/>
      <c r="AQ45" s="4"/>
      <c r="AR45" s="8"/>
      <c r="AS45" s="8"/>
      <c r="AT45" s="4"/>
      <c r="AU45" s="4"/>
      <c r="AV45" s="4"/>
      <c r="AW45" s="4"/>
      <c r="BM45" s="4"/>
      <c r="BN45" s="4"/>
    </row>
    <row r="46" spans="1:66" s="6" customFormat="1" ht="15.6" customHeight="1" x14ac:dyDescent="0.25">
      <c r="A46" s="38" t="s">
        <v>84</v>
      </c>
      <c r="B46" s="33" t="s">
        <v>11</v>
      </c>
      <c r="C46" s="33" t="s">
        <v>85</v>
      </c>
      <c r="D46" s="23">
        <f>+D47</f>
        <v>31000000</v>
      </c>
      <c r="E46" s="23">
        <f>+E47</f>
        <v>49367000</v>
      </c>
      <c r="F46" s="23">
        <f>+F47</f>
        <v>49899000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5"/>
      <c r="W46" s="4"/>
      <c r="X46" s="4"/>
      <c r="Y46" s="4"/>
      <c r="Z46" s="4"/>
      <c r="AC46" s="7"/>
      <c r="AD46" s="7"/>
      <c r="AE46" s="7"/>
      <c r="AF46" s="7"/>
      <c r="AG46" s="7"/>
      <c r="AH46" s="7"/>
      <c r="AI46" s="4"/>
      <c r="AJ46" s="4"/>
      <c r="AK46" s="4"/>
      <c r="AL46" s="4"/>
      <c r="AM46" s="4"/>
      <c r="AN46" s="4"/>
      <c r="AO46" s="4"/>
      <c r="AP46" s="4"/>
      <c r="AQ46" s="4"/>
      <c r="AR46" s="8"/>
      <c r="AS46" s="8"/>
      <c r="AT46" s="4"/>
      <c r="AU46" s="4"/>
      <c r="AV46" s="4"/>
      <c r="AW46" s="4"/>
      <c r="BM46" s="4"/>
      <c r="BN46" s="4"/>
    </row>
    <row r="47" spans="1:66" s="6" customFormat="1" ht="30" customHeight="1" x14ac:dyDescent="0.25">
      <c r="A47" s="38" t="s">
        <v>86</v>
      </c>
      <c r="B47" s="33" t="s">
        <v>18</v>
      </c>
      <c r="C47" s="33" t="s">
        <v>87</v>
      </c>
      <c r="D47" s="23">
        <f>48805000-17805000</f>
        <v>31000000</v>
      </c>
      <c r="E47" s="23">
        <v>49367000</v>
      </c>
      <c r="F47" s="23">
        <v>49899000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5"/>
      <c r="W47" s="4"/>
      <c r="X47" s="4"/>
      <c r="Y47" s="4"/>
      <c r="Z47" s="4"/>
      <c r="AC47" s="7"/>
      <c r="AD47" s="7"/>
      <c r="AE47" s="7"/>
      <c r="AF47" s="7"/>
      <c r="AG47" s="7"/>
      <c r="AH47" s="7"/>
      <c r="AI47" s="4"/>
      <c r="AJ47" s="4"/>
      <c r="AK47" s="4"/>
      <c r="AL47" s="4"/>
      <c r="AM47" s="4"/>
      <c r="AN47" s="4"/>
      <c r="AO47" s="4"/>
      <c r="AP47" s="4"/>
      <c r="AQ47" s="4"/>
      <c r="AR47" s="8"/>
      <c r="AS47" s="8"/>
      <c r="AT47" s="4"/>
      <c r="AU47" s="4"/>
      <c r="AV47" s="4"/>
      <c r="AW47" s="4"/>
      <c r="BM47" s="4"/>
      <c r="BN47" s="4"/>
    </row>
    <row r="48" spans="1:66" s="6" customFormat="1" ht="15" customHeight="1" x14ac:dyDescent="0.25">
      <c r="A48" s="38" t="s">
        <v>88</v>
      </c>
      <c r="B48" s="33" t="s">
        <v>11</v>
      </c>
      <c r="C48" s="33" t="s">
        <v>89</v>
      </c>
      <c r="D48" s="23">
        <f>+D49</f>
        <v>13555000</v>
      </c>
      <c r="E48" s="23">
        <f>+E49</f>
        <v>12108000</v>
      </c>
      <c r="F48" s="23">
        <f>+F49</f>
        <v>12193000</v>
      </c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5"/>
      <c r="W48" s="4"/>
      <c r="X48" s="4"/>
      <c r="Y48" s="4"/>
      <c r="Z48" s="4"/>
      <c r="AC48" s="7"/>
      <c r="AD48" s="7"/>
      <c r="AE48" s="7"/>
      <c r="AF48" s="7"/>
      <c r="AG48" s="7"/>
      <c r="AH48" s="7"/>
      <c r="AI48" s="4"/>
      <c r="AJ48" s="4"/>
      <c r="AK48" s="4"/>
      <c r="AL48" s="4"/>
      <c r="AM48" s="4"/>
      <c r="AN48" s="4"/>
      <c r="AO48" s="4"/>
      <c r="AP48" s="4"/>
      <c r="AQ48" s="4"/>
      <c r="AR48" s="8"/>
      <c r="AS48" s="8"/>
      <c r="AT48" s="4"/>
      <c r="AU48" s="4"/>
      <c r="AV48" s="4"/>
      <c r="AW48" s="4"/>
      <c r="BM48" s="4"/>
      <c r="BN48" s="4"/>
    </row>
    <row r="49" spans="1:66" s="6" customFormat="1" ht="27" customHeight="1" x14ac:dyDescent="0.25">
      <c r="A49" s="38" t="s">
        <v>90</v>
      </c>
      <c r="B49" s="33" t="s">
        <v>18</v>
      </c>
      <c r="C49" s="33" t="s">
        <v>91</v>
      </c>
      <c r="D49" s="23">
        <f>12055000+500000+1000000</f>
        <v>13555000</v>
      </c>
      <c r="E49" s="23">
        <v>12108000</v>
      </c>
      <c r="F49" s="23">
        <v>12193000</v>
      </c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5"/>
      <c r="W49" s="4"/>
      <c r="X49" s="4"/>
      <c r="Y49" s="4"/>
      <c r="Z49" s="4"/>
      <c r="AC49" s="7"/>
      <c r="AD49" s="7"/>
      <c r="AE49" s="7"/>
      <c r="AF49" s="7"/>
      <c r="AG49" s="7"/>
      <c r="AH49" s="7"/>
      <c r="AI49" s="4"/>
      <c r="AJ49" s="4"/>
      <c r="AK49" s="4"/>
      <c r="AL49" s="4"/>
      <c r="AM49" s="45"/>
      <c r="AN49" s="4"/>
      <c r="AO49" s="4"/>
      <c r="AP49" s="4"/>
      <c r="AQ49" s="4"/>
      <c r="AR49" s="8"/>
      <c r="AS49" s="8"/>
      <c r="AT49" s="4"/>
      <c r="AU49" s="4"/>
      <c r="AV49" s="4"/>
      <c r="AW49" s="4"/>
      <c r="BM49" s="4"/>
      <c r="BN49" s="4"/>
    </row>
    <row r="50" spans="1:66" s="49" customFormat="1" ht="15" customHeight="1" x14ac:dyDescent="0.2">
      <c r="A50" s="20" t="s">
        <v>92</v>
      </c>
      <c r="B50" s="21" t="s">
        <v>11</v>
      </c>
      <c r="C50" s="24" t="s">
        <v>93</v>
      </c>
      <c r="D50" s="23">
        <f>+D51+D53</f>
        <v>23144000</v>
      </c>
      <c r="E50" s="23">
        <f t="shared" ref="E50:F50" si="7">+E51+E53</f>
        <v>15524000</v>
      </c>
      <c r="F50" s="23">
        <f t="shared" si="7"/>
        <v>15609000</v>
      </c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5"/>
      <c r="U50" s="5"/>
      <c r="V50" s="5"/>
      <c r="W50" s="5"/>
      <c r="X50" s="5"/>
      <c r="Y50" s="48"/>
      <c r="Z50" s="48"/>
      <c r="AC50" s="50"/>
      <c r="AD50" s="50"/>
      <c r="AE50" s="50"/>
      <c r="AF50" s="50"/>
      <c r="AG50" s="50"/>
      <c r="AH50" s="50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BM50" s="48"/>
      <c r="BN50" s="48"/>
    </row>
    <row r="51" spans="1:66" s="49" customFormat="1" ht="29.45" customHeight="1" x14ac:dyDescent="0.2">
      <c r="A51" s="38" t="s">
        <v>94</v>
      </c>
      <c r="B51" s="33" t="s">
        <v>11</v>
      </c>
      <c r="C51" s="24" t="s">
        <v>95</v>
      </c>
      <c r="D51" s="23">
        <f>+D52</f>
        <v>22000000</v>
      </c>
      <c r="E51" s="23">
        <f>+E52</f>
        <v>14500000</v>
      </c>
      <c r="F51" s="23">
        <f>+F52</f>
        <v>14600000</v>
      </c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5"/>
      <c r="U51" s="5"/>
      <c r="V51" s="5"/>
      <c r="W51" s="5"/>
      <c r="X51" s="5"/>
      <c r="Y51" s="48"/>
      <c r="Z51" s="48"/>
      <c r="AC51" s="50"/>
      <c r="AD51" s="50"/>
      <c r="AE51" s="50"/>
      <c r="AF51" s="50"/>
      <c r="AG51" s="50"/>
      <c r="AH51" s="50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BM51" s="48"/>
      <c r="BN51" s="48"/>
    </row>
    <row r="52" spans="1:66" s="6" customFormat="1" ht="39.6" customHeight="1" x14ac:dyDescent="0.25">
      <c r="A52" s="38" t="s">
        <v>96</v>
      </c>
      <c r="B52" s="33" t="s">
        <v>18</v>
      </c>
      <c r="C52" s="24" t="s">
        <v>97</v>
      </c>
      <c r="D52" s="23">
        <f>14400000+5600000+2000000</f>
        <v>22000000</v>
      </c>
      <c r="E52" s="23">
        <v>14500000</v>
      </c>
      <c r="F52" s="23">
        <v>14600000</v>
      </c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5"/>
      <c r="W52" s="4"/>
      <c r="X52" s="4"/>
      <c r="Y52" s="4"/>
      <c r="Z52" s="4"/>
      <c r="AC52" s="7"/>
      <c r="AD52" s="7"/>
      <c r="AE52" s="7"/>
      <c r="AF52" s="7"/>
      <c r="AG52" s="7"/>
      <c r="AH52" s="7"/>
      <c r="AI52" s="4"/>
      <c r="AJ52" s="4"/>
      <c r="AK52" s="4"/>
      <c r="AL52" s="4"/>
      <c r="AM52" s="45"/>
      <c r="AN52" s="4"/>
      <c r="AO52" s="4"/>
      <c r="AP52" s="4"/>
      <c r="AQ52" s="4"/>
      <c r="AR52" s="8"/>
      <c r="AS52" s="8"/>
      <c r="AT52" s="4"/>
      <c r="AU52" s="4"/>
      <c r="AV52" s="4"/>
      <c r="AW52" s="4"/>
      <c r="BM52" s="4"/>
      <c r="BN52" s="4"/>
    </row>
    <row r="53" spans="1:66" s="6" customFormat="1" ht="28.9" customHeight="1" x14ac:dyDescent="0.25">
      <c r="A53" s="38" t="s">
        <v>98</v>
      </c>
      <c r="B53" s="21" t="s">
        <v>11</v>
      </c>
      <c r="C53" s="24" t="s">
        <v>99</v>
      </c>
      <c r="D53" s="23">
        <f t="shared" ref="D53:F53" si="8">+D54+D56</f>
        <v>1144000</v>
      </c>
      <c r="E53" s="23">
        <f t="shared" si="8"/>
        <v>1024000</v>
      </c>
      <c r="F53" s="23">
        <f t="shared" si="8"/>
        <v>1009000</v>
      </c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5"/>
      <c r="W53" s="4"/>
      <c r="X53" s="4"/>
      <c r="Y53" s="4"/>
      <c r="Z53" s="4"/>
      <c r="AC53" s="7"/>
      <c r="AD53" s="7"/>
      <c r="AE53" s="7"/>
      <c r="AF53" s="7"/>
      <c r="AG53" s="7"/>
      <c r="AH53" s="7"/>
      <c r="AI53" s="4"/>
      <c r="AJ53" s="4"/>
      <c r="AK53" s="4"/>
      <c r="AL53" s="4"/>
      <c r="AM53" s="4"/>
      <c r="AN53" s="4"/>
      <c r="AO53" s="4"/>
      <c r="AP53" s="4"/>
      <c r="AQ53" s="4"/>
      <c r="AR53" s="8"/>
      <c r="AS53" s="8"/>
      <c r="AT53" s="4"/>
      <c r="AU53" s="4"/>
      <c r="AV53" s="4"/>
      <c r="AW53" s="4"/>
      <c r="BM53" s="4"/>
      <c r="BN53" s="4"/>
    </row>
    <row r="54" spans="1:66" s="6" customFormat="1" ht="30.6" customHeight="1" x14ac:dyDescent="0.25">
      <c r="A54" s="38" t="s">
        <v>100</v>
      </c>
      <c r="B54" s="21" t="s">
        <v>11</v>
      </c>
      <c r="C54" s="24" t="s">
        <v>101</v>
      </c>
      <c r="D54" s="23">
        <f t="shared" ref="D54:F54" si="9">+D55</f>
        <v>135000</v>
      </c>
      <c r="E54" s="23">
        <f t="shared" si="9"/>
        <v>15000</v>
      </c>
      <c r="F54" s="23">
        <f t="shared" si="9"/>
        <v>0</v>
      </c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5"/>
      <c r="W54" s="4"/>
      <c r="X54" s="4"/>
      <c r="Y54" s="4"/>
      <c r="Z54" s="4"/>
      <c r="AC54" s="7"/>
      <c r="AD54" s="7"/>
      <c r="AE54" s="7"/>
      <c r="AF54" s="7"/>
      <c r="AG54" s="7"/>
      <c r="AH54" s="7"/>
      <c r="AI54" s="4"/>
      <c r="AJ54" s="4"/>
      <c r="AK54" s="4"/>
      <c r="AL54" s="4"/>
      <c r="AM54" s="4"/>
      <c r="AN54" s="4"/>
      <c r="AO54" s="4"/>
      <c r="AP54" s="4"/>
      <c r="AQ54" s="4"/>
      <c r="AR54" s="8"/>
      <c r="AS54" s="8"/>
      <c r="AT54" s="4"/>
      <c r="AU54" s="4"/>
      <c r="AV54" s="4"/>
      <c r="AW54" s="4"/>
      <c r="BM54" s="4"/>
      <c r="BN54" s="4"/>
    </row>
    <row r="55" spans="1:66" s="6" customFormat="1" ht="27" customHeight="1" x14ac:dyDescent="0.25">
      <c r="A55" s="38" t="s">
        <v>102</v>
      </c>
      <c r="B55" s="21" t="s">
        <v>103</v>
      </c>
      <c r="C55" s="24" t="s">
        <v>104</v>
      </c>
      <c r="D55" s="23">
        <f>185000-50000</f>
        <v>135000</v>
      </c>
      <c r="E55" s="23">
        <v>15000</v>
      </c>
      <c r="F55" s="23">
        <v>0</v>
      </c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5"/>
      <c r="W55" s="4"/>
      <c r="X55" s="4"/>
      <c r="Y55" s="4"/>
      <c r="Z55" s="4"/>
      <c r="AC55" s="7"/>
      <c r="AD55" s="7"/>
      <c r="AE55" s="7"/>
      <c r="AF55" s="7"/>
      <c r="AG55" s="7"/>
      <c r="AH55" s="7"/>
      <c r="AI55" s="4"/>
      <c r="AJ55" s="4"/>
      <c r="AK55" s="4"/>
      <c r="AL55" s="4"/>
      <c r="AM55" s="4"/>
      <c r="AN55" s="4"/>
      <c r="AO55" s="4"/>
      <c r="AP55" s="4"/>
      <c r="AQ55" s="4"/>
      <c r="AR55" s="8"/>
      <c r="AS55" s="8"/>
      <c r="AT55" s="4"/>
      <c r="AU55" s="4"/>
      <c r="AV55" s="4"/>
      <c r="AW55" s="4"/>
      <c r="BM55" s="4"/>
      <c r="BN55" s="4"/>
    </row>
    <row r="56" spans="1:66" s="6" customFormat="1" ht="57.6" customHeight="1" x14ac:dyDescent="0.25">
      <c r="A56" s="38" t="s">
        <v>105</v>
      </c>
      <c r="B56" s="21" t="s">
        <v>11</v>
      </c>
      <c r="C56" s="43" t="s">
        <v>106</v>
      </c>
      <c r="D56" s="23">
        <f>+D57</f>
        <v>1009000</v>
      </c>
      <c r="E56" s="23">
        <f>+E57</f>
        <v>1009000</v>
      </c>
      <c r="F56" s="23">
        <f>+F57</f>
        <v>1009000</v>
      </c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5"/>
      <c r="W56" s="4"/>
      <c r="X56" s="4"/>
      <c r="Y56" s="4"/>
      <c r="Z56" s="4"/>
      <c r="AC56" s="7"/>
      <c r="AD56" s="7"/>
      <c r="AE56" s="7"/>
      <c r="AF56" s="7"/>
      <c r="AG56" s="7"/>
      <c r="AH56" s="7"/>
      <c r="AI56" s="4"/>
      <c r="AJ56" s="4"/>
      <c r="AK56" s="4"/>
      <c r="AL56" s="4"/>
      <c r="AM56" s="4"/>
      <c r="AN56" s="4"/>
      <c r="AO56" s="4"/>
      <c r="AP56" s="4"/>
      <c r="AQ56" s="4"/>
      <c r="AR56" s="8"/>
      <c r="AS56" s="8"/>
      <c r="AT56" s="4"/>
      <c r="AU56" s="4"/>
      <c r="AV56" s="4"/>
      <c r="AW56" s="4"/>
      <c r="BM56" s="4"/>
      <c r="BN56" s="4"/>
    </row>
    <row r="57" spans="1:66" s="6" customFormat="1" ht="84" customHeight="1" x14ac:dyDescent="0.25">
      <c r="A57" s="51" t="s">
        <v>107</v>
      </c>
      <c r="B57" s="21" t="s">
        <v>108</v>
      </c>
      <c r="C57" s="24" t="s">
        <v>109</v>
      </c>
      <c r="D57" s="23">
        <v>1009000</v>
      </c>
      <c r="E57" s="23">
        <v>1009000</v>
      </c>
      <c r="F57" s="23">
        <v>1009000</v>
      </c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5"/>
      <c r="W57" s="4"/>
      <c r="X57" s="4"/>
      <c r="Y57" s="4"/>
      <c r="Z57" s="4"/>
      <c r="AC57" s="7"/>
      <c r="AD57" s="7"/>
      <c r="AE57" s="7"/>
      <c r="AF57" s="7"/>
      <c r="AG57" s="7"/>
      <c r="AH57" s="7"/>
      <c r="AI57" s="4"/>
      <c r="AJ57" s="4"/>
      <c r="AK57" s="4"/>
      <c r="AL57" s="4"/>
      <c r="AM57" s="4"/>
      <c r="AN57" s="4"/>
      <c r="AO57" s="4"/>
      <c r="AP57" s="4"/>
      <c r="AQ57" s="4"/>
      <c r="AR57" s="8"/>
      <c r="AS57" s="8"/>
      <c r="AT57" s="4"/>
      <c r="AU57" s="4"/>
      <c r="AV57" s="4"/>
      <c r="AW57" s="4"/>
      <c r="BM57" s="4"/>
      <c r="BN57" s="4"/>
    </row>
    <row r="58" spans="1:66" s="6" customFormat="1" ht="30" customHeight="1" x14ac:dyDescent="0.25">
      <c r="A58" s="112" t="s">
        <v>110</v>
      </c>
      <c r="B58" s="21" t="s">
        <v>11</v>
      </c>
      <c r="C58" s="47" t="s">
        <v>111</v>
      </c>
      <c r="D58" s="23">
        <f>+D59</f>
        <v>10.5</v>
      </c>
      <c r="E58" s="23">
        <f t="shared" ref="E58:F58" si="10">+E59</f>
        <v>0</v>
      </c>
      <c r="F58" s="23">
        <f t="shared" si="10"/>
        <v>0</v>
      </c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5"/>
      <c r="W58" s="4"/>
      <c r="X58" s="4"/>
      <c r="Y58" s="4"/>
      <c r="Z58" s="4"/>
      <c r="AC58" s="7"/>
      <c r="AD58" s="7"/>
      <c r="AE58" s="7"/>
      <c r="AF58" s="7"/>
      <c r="AG58" s="7"/>
      <c r="AH58" s="7"/>
      <c r="AI58" s="4"/>
      <c r="AJ58" s="4"/>
      <c r="AK58" s="4"/>
      <c r="AL58" s="4"/>
      <c r="AM58" s="4"/>
      <c r="AN58" s="4"/>
      <c r="AO58" s="4"/>
      <c r="AP58" s="4"/>
      <c r="AQ58" s="4"/>
      <c r="AR58" s="8"/>
      <c r="AS58" s="8"/>
      <c r="AT58" s="4"/>
      <c r="AU58" s="4"/>
      <c r="AV58" s="4"/>
      <c r="AW58" s="4"/>
      <c r="BM58" s="4"/>
      <c r="BN58" s="4"/>
    </row>
    <row r="59" spans="1:66" s="6" customFormat="1" ht="27" customHeight="1" x14ac:dyDescent="0.25">
      <c r="A59" s="112" t="s">
        <v>112</v>
      </c>
      <c r="B59" s="21" t="s">
        <v>11</v>
      </c>
      <c r="C59" s="47" t="s">
        <v>113</v>
      </c>
      <c r="D59" s="23">
        <f>+D60</f>
        <v>10.5</v>
      </c>
      <c r="E59" s="23">
        <v>0</v>
      </c>
      <c r="F59" s="23">
        <v>0</v>
      </c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5"/>
      <c r="W59" s="4"/>
      <c r="X59" s="4"/>
      <c r="Y59" s="4"/>
      <c r="Z59" s="4"/>
      <c r="AC59" s="7"/>
      <c r="AD59" s="7"/>
      <c r="AE59" s="7"/>
      <c r="AF59" s="7"/>
      <c r="AG59" s="7"/>
      <c r="AH59" s="7"/>
      <c r="AI59" s="4"/>
      <c r="AJ59" s="4"/>
      <c r="AK59" s="4"/>
      <c r="AL59" s="4"/>
      <c r="AM59" s="4"/>
      <c r="AN59" s="4"/>
      <c r="AO59" s="4"/>
      <c r="AP59" s="4"/>
      <c r="AQ59" s="4"/>
      <c r="AR59" s="8"/>
      <c r="AS59" s="8"/>
      <c r="AT59" s="4"/>
      <c r="AU59" s="4"/>
      <c r="AV59" s="4"/>
      <c r="AW59" s="4"/>
      <c r="BM59" s="4"/>
      <c r="BN59" s="4"/>
    </row>
    <row r="60" spans="1:66" s="6" customFormat="1" ht="15.6" customHeight="1" x14ac:dyDescent="0.25">
      <c r="A60" s="112" t="s">
        <v>114</v>
      </c>
      <c r="B60" s="21" t="s">
        <v>18</v>
      </c>
      <c r="C60" s="47" t="s">
        <v>115</v>
      </c>
      <c r="D60" s="23">
        <v>10.5</v>
      </c>
      <c r="E60" s="23">
        <v>0</v>
      </c>
      <c r="F60" s="23">
        <v>0</v>
      </c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5"/>
      <c r="W60" s="4"/>
      <c r="X60" s="4"/>
      <c r="Y60" s="4"/>
      <c r="Z60" s="4"/>
      <c r="AC60" s="7"/>
      <c r="AD60" s="7"/>
      <c r="AE60" s="7"/>
      <c r="AF60" s="7"/>
      <c r="AG60" s="7"/>
      <c r="AH60" s="7"/>
      <c r="AI60" s="4"/>
      <c r="AJ60" s="4"/>
      <c r="AK60" s="4"/>
      <c r="AL60" s="4"/>
      <c r="AM60" s="4"/>
      <c r="AN60" s="4"/>
      <c r="AO60" s="4"/>
      <c r="AP60" s="4"/>
      <c r="AQ60" s="4"/>
      <c r="AR60" s="8"/>
      <c r="AS60" s="8"/>
      <c r="AT60" s="4"/>
      <c r="AU60" s="4"/>
      <c r="AV60" s="4"/>
      <c r="AW60" s="4"/>
      <c r="BM60" s="4"/>
      <c r="BN60" s="4"/>
    </row>
    <row r="61" spans="1:66" s="30" customFormat="1" ht="37.9" customHeight="1" x14ac:dyDescent="0.2">
      <c r="A61" s="20" t="s">
        <v>116</v>
      </c>
      <c r="B61" s="21" t="s">
        <v>11</v>
      </c>
      <c r="C61" s="24" t="s">
        <v>117</v>
      </c>
      <c r="D61" s="23">
        <f>+D62+D72+D75+D80+D83</f>
        <v>98206826.349999994</v>
      </c>
      <c r="E61" s="23">
        <f>+E62+E80+E83</f>
        <v>106762106</v>
      </c>
      <c r="F61" s="23">
        <f>+F62+F80+F83</f>
        <v>110891391</v>
      </c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4"/>
      <c r="U61" s="4"/>
      <c r="V61" s="5"/>
      <c r="W61" s="4"/>
      <c r="X61" s="4"/>
      <c r="Y61" s="29"/>
      <c r="Z61" s="29"/>
      <c r="AC61" s="28"/>
      <c r="AD61" s="28"/>
      <c r="AE61" s="28"/>
      <c r="AF61" s="28"/>
      <c r="AG61" s="28"/>
      <c r="AH61" s="28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BM61" s="29"/>
      <c r="BN61" s="29"/>
    </row>
    <row r="62" spans="1:66" s="6" customFormat="1" ht="75" customHeight="1" x14ac:dyDescent="0.25">
      <c r="A62" s="38" t="s">
        <v>118</v>
      </c>
      <c r="B62" s="21" t="s">
        <v>11</v>
      </c>
      <c r="C62" s="24" t="s">
        <v>119</v>
      </c>
      <c r="D62" s="23">
        <f>D63+D66+D69</f>
        <v>79025736</v>
      </c>
      <c r="E62" s="23">
        <f t="shared" ref="E62:F62" si="11">E63+E66+E69</f>
        <v>89495195</v>
      </c>
      <c r="F62" s="23">
        <f t="shared" si="11"/>
        <v>93075003</v>
      </c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5"/>
      <c r="W62" s="4"/>
      <c r="X62" s="4"/>
      <c r="Y62" s="4"/>
      <c r="Z62" s="4"/>
      <c r="AC62" s="7"/>
      <c r="AD62" s="7"/>
      <c r="AE62" s="7"/>
      <c r="AF62" s="7"/>
      <c r="AG62" s="7"/>
      <c r="AH62" s="7"/>
      <c r="AI62" s="4"/>
      <c r="AJ62" s="4"/>
      <c r="AK62" s="4"/>
      <c r="AL62" s="4"/>
      <c r="AM62" s="4"/>
      <c r="AN62" s="4"/>
      <c r="AO62" s="4"/>
      <c r="AP62" s="4"/>
      <c r="AQ62" s="4"/>
      <c r="AR62" s="8"/>
      <c r="AS62" s="8"/>
      <c r="AT62" s="4"/>
      <c r="AU62" s="4"/>
      <c r="AV62" s="4"/>
      <c r="AW62" s="4"/>
      <c r="BM62" s="4"/>
      <c r="BN62" s="4"/>
    </row>
    <row r="63" spans="1:66" s="6" customFormat="1" ht="57" customHeight="1" x14ac:dyDescent="0.25">
      <c r="A63" s="38" t="s">
        <v>120</v>
      </c>
      <c r="B63" s="21" t="s">
        <v>11</v>
      </c>
      <c r="C63" s="24" t="s">
        <v>121</v>
      </c>
      <c r="D63" s="23">
        <f t="shared" ref="D63:F64" si="12">+D64</f>
        <v>64665601</v>
      </c>
      <c r="E63" s="23">
        <f t="shared" si="12"/>
        <v>74568716</v>
      </c>
      <c r="F63" s="23">
        <f t="shared" si="12"/>
        <v>77551464</v>
      </c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5"/>
      <c r="W63" s="4"/>
      <c r="X63" s="4"/>
      <c r="Y63" s="4"/>
      <c r="Z63" s="4"/>
      <c r="AC63" s="7"/>
      <c r="AD63" s="7"/>
      <c r="AE63" s="7"/>
      <c r="AF63" s="7"/>
      <c r="AG63" s="7"/>
      <c r="AH63" s="7"/>
      <c r="AI63" s="4"/>
      <c r="AJ63" s="4"/>
      <c r="AK63" s="4"/>
      <c r="AL63" s="4"/>
      <c r="AM63" s="4"/>
      <c r="AN63" s="4"/>
      <c r="AO63" s="4"/>
      <c r="AP63" s="4"/>
      <c r="AQ63" s="4"/>
      <c r="AR63" s="8"/>
      <c r="AS63" s="8"/>
      <c r="AT63" s="4"/>
      <c r="AU63" s="4"/>
      <c r="AV63" s="4"/>
      <c r="AW63" s="4"/>
      <c r="BM63" s="4"/>
      <c r="BN63" s="4"/>
    </row>
    <row r="64" spans="1:66" s="6" customFormat="1" ht="69" customHeight="1" x14ac:dyDescent="0.25">
      <c r="A64" s="38" t="s">
        <v>122</v>
      </c>
      <c r="B64" s="21" t="s">
        <v>11</v>
      </c>
      <c r="C64" s="24" t="s">
        <v>123</v>
      </c>
      <c r="D64" s="23">
        <f t="shared" si="12"/>
        <v>64665601</v>
      </c>
      <c r="E64" s="23">
        <f t="shared" si="12"/>
        <v>74568716</v>
      </c>
      <c r="F64" s="23">
        <f t="shared" si="12"/>
        <v>77551464</v>
      </c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5"/>
      <c r="W64" s="4"/>
      <c r="X64" s="4"/>
      <c r="Y64" s="4"/>
      <c r="Z64" s="4"/>
      <c r="AC64" s="7"/>
      <c r="AD64" s="7"/>
      <c r="AE64" s="7"/>
      <c r="AF64" s="7"/>
      <c r="AG64" s="7"/>
      <c r="AH64" s="7"/>
      <c r="AI64" s="4"/>
      <c r="AJ64" s="4"/>
      <c r="AK64" s="4"/>
      <c r="AL64" s="4"/>
      <c r="AM64" s="4"/>
      <c r="AN64" s="4"/>
      <c r="AO64" s="4"/>
      <c r="AP64" s="4"/>
      <c r="AQ64" s="4"/>
      <c r="AR64" s="8"/>
      <c r="AS64" s="8"/>
      <c r="AT64" s="4"/>
      <c r="AU64" s="4"/>
      <c r="AV64" s="4"/>
      <c r="AW64" s="4"/>
      <c r="BM64" s="4"/>
      <c r="BN64" s="4"/>
    </row>
    <row r="65" spans="1:66" s="6" customFormat="1" ht="73.5" customHeight="1" x14ac:dyDescent="0.25">
      <c r="A65" s="38" t="s">
        <v>124</v>
      </c>
      <c r="B65" s="21" t="s">
        <v>103</v>
      </c>
      <c r="C65" s="24" t="s">
        <v>125</v>
      </c>
      <c r="D65" s="23">
        <f>71769698-536763-6567334</f>
        <v>64665601</v>
      </c>
      <c r="E65" s="23">
        <v>74568716</v>
      </c>
      <c r="F65" s="23">
        <v>77551464</v>
      </c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5"/>
      <c r="W65" s="4"/>
      <c r="X65" s="4"/>
      <c r="Y65" s="4"/>
      <c r="Z65" s="4"/>
      <c r="AC65" s="7"/>
      <c r="AD65" s="7"/>
      <c r="AE65" s="7"/>
      <c r="AF65" s="7"/>
      <c r="AG65" s="7"/>
      <c r="AH65" s="7"/>
      <c r="AI65" s="4"/>
      <c r="AJ65" s="4"/>
      <c r="AK65" s="4"/>
      <c r="AL65" s="4"/>
      <c r="AM65" s="4"/>
      <c r="AN65" s="4"/>
      <c r="AO65" s="4"/>
      <c r="AP65" s="4"/>
      <c r="AQ65" s="4"/>
      <c r="AR65" s="8"/>
      <c r="AS65" s="8"/>
      <c r="AT65" s="4"/>
      <c r="AU65" s="4"/>
      <c r="AV65" s="4"/>
      <c r="AW65" s="4"/>
      <c r="BM65" s="4"/>
      <c r="BN65" s="4"/>
    </row>
    <row r="66" spans="1:66" s="6" customFormat="1" ht="73.5" customHeight="1" x14ac:dyDescent="0.25">
      <c r="A66" s="38" t="s">
        <v>126</v>
      </c>
      <c r="B66" s="21" t="s">
        <v>11</v>
      </c>
      <c r="C66" s="24" t="s">
        <v>127</v>
      </c>
      <c r="D66" s="23">
        <f t="shared" ref="D66:F67" si="13">+D67</f>
        <v>9770135</v>
      </c>
      <c r="E66" s="23">
        <f t="shared" si="13"/>
        <v>8792040</v>
      </c>
      <c r="F66" s="23">
        <f t="shared" si="13"/>
        <v>9143722</v>
      </c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5"/>
      <c r="W66" s="4"/>
      <c r="X66" s="4"/>
      <c r="Y66" s="4"/>
      <c r="Z66" s="4"/>
      <c r="AC66" s="7"/>
      <c r="AD66" s="7"/>
      <c r="AE66" s="7"/>
      <c r="AF66" s="7"/>
      <c r="AG66" s="7"/>
      <c r="AH66" s="7"/>
      <c r="AI66" s="4"/>
      <c r="AJ66" s="4"/>
      <c r="AK66" s="4"/>
      <c r="AL66" s="4"/>
      <c r="AM66" s="4"/>
      <c r="AN66" s="4"/>
      <c r="AO66" s="4"/>
      <c r="AP66" s="4"/>
      <c r="AQ66" s="4"/>
      <c r="AR66" s="8"/>
      <c r="AS66" s="8"/>
      <c r="AT66" s="4"/>
      <c r="AU66" s="4"/>
      <c r="AV66" s="4"/>
      <c r="AW66" s="4"/>
      <c r="BM66" s="4"/>
      <c r="BN66" s="4"/>
    </row>
    <row r="67" spans="1:66" s="6" customFormat="1" ht="69" customHeight="1" x14ac:dyDescent="0.25">
      <c r="A67" s="38" t="s">
        <v>128</v>
      </c>
      <c r="B67" s="21" t="s">
        <v>11</v>
      </c>
      <c r="C67" s="24" t="s">
        <v>129</v>
      </c>
      <c r="D67" s="23">
        <f t="shared" si="13"/>
        <v>9770135</v>
      </c>
      <c r="E67" s="23">
        <f t="shared" si="13"/>
        <v>8792040</v>
      </c>
      <c r="F67" s="23">
        <f t="shared" si="13"/>
        <v>9143722</v>
      </c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5"/>
      <c r="W67" s="4"/>
      <c r="X67" s="4"/>
      <c r="Y67" s="4"/>
      <c r="Z67" s="4"/>
      <c r="AC67" s="7"/>
      <c r="AD67" s="7"/>
      <c r="AE67" s="7"/>
      <c r="AF67" s="7"/>
      <c r="AG67" s="7"/>
      <c r="AH67" s="7"/>
      <c r="AI67" s="4"/>
      <c r="AJ67" s="4"/>
      <c r="AK67" s="4"/>
      <c r="AL67" s="4"/>
      <c r="AM67" s="4"/>
      <c r="AN67" s="4"/>
      <c r="AO67" s="4"/>
      <c r="AP67" s="4"/>
      <c r="AQ67" s="4"/>
      <c r="AR67" s="8"/>
      <c r="AS67" s="8"/>
      <c r="AT67" s="4"/>
      <c r="AU67" s="4"/>
      <c r="AV67" s="4"/>
      <c r="AW67" s="4"/>
      <c r="BM67" s="4"/>
      <c r="BN67" s="4"/>
    </row>
    <row r="68" spans="1:66" s="6" customFormat="1" ht="69.599999999999994" customHeight="1" x14ac:dyDescent="0.25">
      <c r="A68" s="38" t="s">
        <v>130</v>
      </c>
      <c r="B68" s="21" t="s">
        <v>103</v>
      </c>
      <c r="C68" s="24" t="s">
        <v>131</v>
      </c>
      <c r="D68" s="23">
        <f>8462021+1308114</f>
        <v>9770135</v>
      </c>
      <c r="E68" s="23">
        <v>8792040</v>
      </c>
      <c r="F68" s="23">
        <v>9143722</v>
      </c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5"/>
      <c r="W68" s="4"/>
      <c r="X68" s="4"/>
      <c r="Y68" s="4"/>
      <c r="Z68" s="4"/>
      <c r="AC68" s="7"/>
      <c r="AD68" s="7"/>
      <c r="AE68" s="7"/>
      <c r="AF68" s="7"/>
      <c r="AG68" s="7"/>
      <c r="AH68" s="7"/>
      <c r="AI68" s="4"/>
      <c r="AJ68" s="4"/>
      <c r="AK68" s="4"/>
      <c r="AL68" s="4"/>
      <c r="AM68" s="4"/>
      <c r="AN68" s="4"/>
      <c r="AO68" s="4"/>
      <c r="AP68" s="4"/>
      <c r="AQ68" s="4"/>
      <c r="AR68" s="8"/>
      <c r="AS68" s="8"/>
      <c r="AT68" s="4"/>
      <c r="AU68" s="4"/>
      <c r="AV68" s="4"/>
      <c r="AW68" s="4"/>
      <c r="BM68" s="4"/>
      <c r="BN68" s="4"/>
    </row>
    <row r="69" spans="1:66" s="6" customFormat="1" ht="42" customHeight="1" x14ac:dyDescent="0.25">
      <c r="A69" s="38" t="s">
        <v>132</v>
      </c>
      <c r="B69" s="21" t="s">
        <v>11</v>
      </c>
      <c r="C69" s="24" t="s">
        <v>133</v>
      </c>
      <c r="D69" s="23">
        <f t="shared" ref="D69:F70" si="14">+D70</f>
        <v>4590000</v>
      </c>
      <c r="E69" s="23">
        <f t="shared" si="14"/>
        <v>6134439</v>
      </c>
      <c r="F69" s="23">
        <f t="shared" si="14"/>
        <v>6379817</v>
      </c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5"/>
      <c r="W69" s="4"/>
      <c r="X69" s="4"/>
      <c r="Y69" s="4"/>
      <c r="Z69" s="4"/>
      <c r="AC69" s="7"/>
      <c r="AD69" s="7"/>
      <c r="AE69" s="7"/>
      <c r="AF69" s="7"/>
      <c r="AG69" s="7"/>
      <c r="AH69" s="7"/>
      <c r="AI69" s="4"/>
      <c r="AJ69" s="4"/>
      <c r="AK69" s="4"/>
      <c r="AL69" s="4"/>
      <c r="AM69" s="4"/>
      <c r="AN69" s="4"/>
      <c r="AO69" s="4"/>
      <c r="AP69" s="4"/>
      <c r="AQ69" s="4"/>
      <c r="AR69" s="8"/>
      <c r="AS69" s="8"/>
      <c r="AT69" s="4"/>
      <c r="AU69" s="4"/>
      <c r="AV69" s="4"/>
      <c r="AW69" s="4"/>
      <c r="BM69" s="4"/>
      <c r="BN69" s="4"/>
    </row>
    <row r="70" spans="1:66" s="6" customFormat="1" ht="31.15" customHeight="1" x14ac:dyDescent="0.25">
      <c r="A70" s="38" t="s">
        <v>134</v>
      </c>
      <c r="B70" s="21" t="s">
        <v>11</v>
      </c>
      <c r="C70" s="24" t="s">
        <v>135</v>
      </c>
      <c r="D70" s="23">
        <f t="shared" si="14"/>
        <v>4590000</v>
      </c>
      <c r="E70" s="23">
        <f t="shared" si="14"/>
        <v>6134439</v>
      </c>
      <c r="F70" s="23">
        <f t="shared" si="14"/>
        <v>6379817</v>
      </c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5"/>
      <c r="W70" s="4"/>
      <c r="X70" s="4"/>
      <c r="Y70" s="4"/>
      <c r="Z70" s="4"/>
      <c r="AC70" s="7"/>
      <c r="AD70" s="7"/>
      <c r="AE70" s="7"/>
      <c r="AF70" s="7"/>
      <c r="AG70" s="7"/>
      <c r="AH70" s="7"/>
      <c r="AI70" s="4"/>
      <c r="AJ70" s="4"/>
      <c r="AK70" s="4"/>
      <c r="AL70" s="4"/>
      <c r="AM70" s="4"/>
      <c r="AN70" s="4"/>
      <c r="AO70" s="4"/>
      <c r="AP70" s="4"/>
      <c r="AQ70" s="4"/>
      <c r="AR70" s="8"/>
      <c r="AS70" s="8"/>
      <c r="AT70" s="4"/>
      <c r="AU70" s="4"/>
      <c r="AV70" s="4"/>
      <c r="AW70" s="4"/>
      <c r="BM70" s="4"/>
      <c r="BN70" s="4"/>
    </row>
    <row r="71" spans="1:66" s="6" customFormat="1" ht="38.25" x14ac:dyDescent="0.25">
      <c r="A71" s="38" t="s">
        <v>136</v>
      </c>
      <c r="B71" s="21" t="s">
        <v>103</v>
      </c>
      <c r="C71" s="24" t="s">
        <v>137</v>
      </c>
      <c r="D71" s="23">
        <f>5904176-1314176</f>
        <v>4590000</v>
      </c>
      <c r="E71" s="23">
        <v>6134439</v>
      </c>
      <c r="F71" s="23">
        <v>6379817</v>
      </c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5"/>
      <c r="W71" s="4"/>
      <c r="X71" s="4"/>
      <c r="Y71" s="4"/>
      <c r="Z71" s="4"/>
      <c r="AC71" s="7"/>
      <c r="AD71" s="7"/>
      <c r="AE71" s="7"/>
      <c r="AF71" s="7"/>
      <c r="AG71" s="7"/>
      <c r="AH71" s="7"/>
      <c r="AI71" s="4"/>
      <c r="AJ71" s="4"/>
      <c r="AK71" s="4"/>
      <c r="AL71" s="4"/>
      <c r="AM71" s="4"/>
      <c r="AN71" s="4"/>
      <c r="AO71" s="4"/>
      <c r="AP71" s="4"/>
      <c r="AQ71" s="4"/>
      <c r="AR71" s="8"/>
      <c r="AS71" s="8"/>
      <c r="AT71" s="4"/>
      <c r="AU71" s="4"/>
      <c r="AV71" s="4"/>
      <c r="AW71" s="4"/>
      <c r="BM71" s="4"/>
      <c r="BN71" s="4"/>
    </row>
    <row r="72" spans="1:66" s="6" customFormat="1" ht="38.25" x14ac:dyDescent="0.25">
      <c r="A72" s="46" t="s">
        <v>138</v>
      </c>
      <c r="B72" s="21" t="s">
        <v>11</v>
      </c>
      <c r="C72" s="113" t="s">
        <v>139</v>
      </c>
      <c r="D72" s="23">
        <f>+D73</f>
        <v>3271.35</v>
      </c>
      <c r="E72" s="23">
        <f t="shared" ref="E72:F73" si="15">+E73</f>
        <v>0</v>
      </c>
      <c r="F72" s="23">
        <f t="shared" si="15"/>
        <v>0</v>
      </c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5"/>
      <c r="W72" s="4"/>
      <c r="X72" s="4"/>
      <c r="Y72" s="4"/>
      <c r="Z72" s="4"/>
      <c r="AC72" s="7"/>
      <c r="AD72" s="7"/>
      <c r="AE72" s="7"/>
      <c r="AF72" s="7"/>
      <c r="AG72" s="7"/>
      <c r="AH72" s="7"/>
      <c r="AI72" s="4"/>
      <c r="AJ72" s="4"/>
      <c r="AK72" s="4"/>
      <c r="AL72" s="4"/>
      <c r="AM72" s="4"/>
      <c r="AN72" s="4"/>
      <c r="AO72" s="4"/>
      <c r="AP72" s="4"/>
      <c r="AQ72" s="4"/>
      <c r="AR72" s="8"/>
      <c r="AS72" s="8"/>
      <c r="AT72" s="4"/>
      <c r="AU72" s="4"/>
      <c r="AV72" s="4"/>
      <c r="AW72" s="4"/>
      <c r="BM72" s="4"/>
      <c r="BN72" s="4"/>
    </row>
    <row r="73" spans="1:66" s="6" customFormat="1" ht="38.25" x14ac:dyDescent="0.25">
      <c r="A73" s="46" t="s">
        <v>140</v>
      </c>
      <c r="B73" s="21" t="s">
        <v>11</v>
      </c>
      <c r="C73" s="113" t="s">
        <v>141</v>
      </c>
      <c r="D73" s="23">
        <f>+D74</f>
        <v>3271.35</v>
      </c>
      <c r="E73" s="23">
        <f t="shared" si="15"/>
        <v>0</v>
      </c>
      <c r="F73" s="23">
        <f t="shared" si="15"/>
        <v>0</v>
      </c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5"/>
      <c r="W73" s="4"/>
      <c r="X73" s="4"/>
      <c r="Y73" s="4"/>
      <c r="Z73" s="4"/>
      <c r="AC73" s="7"/>
      <c r="AD73" s="7"/>
      <c r="AE73" s="7"/>
      <c r="AF73" s="7"/>
      <c r="AG73" s="7"/>
      <c r="AH73" s="7"/>
      <c r="AI73" s="4"/>
      <c r="AJ73" s="4"/>
      <c r="AK73" s="4"/>
      <c r="AL73" s="4"/>
      <c r="AM73" s="4"/>
      <c r="AN73" s="4"/>
      <c r="AO73" s="4"/>
      <c r="AP73" s="4"/>
      <c r="AQ73" s="4"/>
      <c r="AR73" s="8"/>
      <c r="AS73" s="8"/>
      <c r="AT73" s="4"/>
      <c r="AU73" s="4"/>
      <c r="AV73" s="4"/>
      <c r="AW73" s="4"/>
      <c r="BM73" s="4"/>
      <c r="BN73" s="4"/>
    </row>
    <row r="74" spans="1:66" s="6" customFormat="1" ht="76.5" x14ac:dyDescent="0.25">
      <c r="A74" s="46" t="s">
        <v>142</v>
      </c>
      <c r="B74" s="21" t="s">
        <v>108</v>
      </c>
      <c r="C74" s="113" t="s">
        <v>143</v>
      </c>
      <c r="D74" s="23">
        <v>3271.35</v>
      </c>
      <c r="E74" s="23">
        <v>0</v>
      </c>
      <c r="F74" s="23">
        <v>0</v>
      </c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5"/>
      <c r="W74" s="4"/>
      <c r="X74" s="4"/>
      <c r="Y74" s="4"/>
      <c r="Z74" s="4"/>
      <c r="AC74" s="7"/>
      <c r="AD74" s="7"/>
      <c r="AE74" s="7"/>
      <c r="AF74" s="7"/>
      <c r="AG74" s="7"/>
      <c r="AH74" s="7"/>
      <c r="AI74" s="4"/>
      <c r="AJ74" s="4"/>
      <c r="AK74" s="4"/>
      <c r="AL74" s="4"/>
      <c r="AM74" s="4"/>
      <c r="AN74" s="4"/>
      <c r="AO74" s="4"/>
      <c r="AP74" s="4"/>
      <c r="AQ74" s="4"/>
      <c r="AR74" s="8"/>
      <c r="AS74" s="8"/>
      <c r="AT74" s="4"/>
      <c r="AU74" s="4"/>
      <c r="AV74" s="4"/>
      <c r="AW74" s="4"/>
      <c r="BM74" s="4"/>
      <c r="BN74" s="4"/>
    </row>
    <row r="75" spans="1:66" s="6" customFormat="1" ht="51" x14ac:dyDescent="0.25">
      <c r="A75" s="46" t="s">
        <v>144</v>
      </c>
      <c r="B75" s="21" t="s">
        <v>11</v>
      </c>
      <c r="C75" s="113" t="s">
        <v>145</v>
      </c>
      <c r="D75" s="23">
        <f>+D76+D78</f>
        <v>83000</v>
      </c>
      <c r="E75" s="23">
        <f t="shared" ref="E75:F75" si="16">+E76+E78</f>
        <v>0</v>
      </c>
      <c r="F75" s="23">
        <f t="shared" si="16"/>
        <v>0</v>
      </c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5"/>
      <c r="W75" s="4"/>
      <c r="X75" s="4"/>
      <c r="Y75" s="4"/>
      <c r="Z75" s="4"/>
      <c r="AC75" s="7"/>
      <c r="AD75" s="7"/>
      <c r="AE75" s="7"/>
      <c r="AF75" s="7"/>
      <c r="AG75" s="7"/>
      <c r="AH75" s="7"/>
      <c r="AI75" s="4"/>
      <c r="AJ75" s="4"/>
      <c r="AK75" s="4"/>
      <c r="AL75" s="4"/>
      <c r="AM75" s="4"/>
      <c r="AN75" s="4"/>
      <c r="AO75" s="4"/>
      <c r="AP75" s="4"/>
      <c r="AQ75" s="4"/>
      <c r="AR75" s="8"/>
      <c r="AS75" s="8"/>
      <c r="AT75" s="4"/>
      <c r="AU75" s="4"/>
      <c r="AV75" s="4"/>
      <c r="AW75" s="4"/>
      <c r="BM75" s="4"/>
      <c r="BN75" s="4"/>
    </row>
    <row r="76" spans="1:66" s="6" customFormat="1" ht="51" x14ac:dyDescent="0.25">
      <c r="A76" s="46" t="s">
        <v>146</v>
      </c>
      <c r="B76" s="21" t="s">
        <v>11</v>
      </c>
      <c r="C76" s="113" t="s">
        <v>147</v>
      </c>
      <c r="D76" s="23">
        <f>+D77</f>
        <v>23000</v>
      </c>
      <c r="E76" s="23">
        <f t="shared" ref="E76:F76" si="17">+E77</f>
        <v>0</v>
      </c>
      <c r="F76" s="23">
        <f t="shared" si="17"/>
        <v>0</v>
      </c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5"/>
      <c r="W76" s="4"/>
      <c r="X76" s="4"/>
      <c r="Y76" s="4"/>
      <c r="Z76" s="4"/>
      <c r="AC76" s="7"/>
      <c r="AD76" s="7"/>
      <c r="AE76" s="7"/>
      <c r="AF76" s="7"/>
      <c r="AG76" s="7"/>
      <c r="AH76" s="7"/>
      <c r="AI76" s="4"/>
      <c r="AJ76" s="4"/>
      <c r="AK76" s="4"/>
      <c r="AL76" s="4"/>
      <c r="AM76" s="4"/>
      <c r="AN76" s="4"/>
      <c r="AO76" s="4"/>
      <c r="AP76" s="4"/>
      <c r="AQ76" s="4"/>
      <c r="AR76" s="8"/>
      <c r="AS76" s="8"/>
      <c r="AT76" s="4"/>
      <c r="AU76" s="4"/>
      <c r="AV76" s="4"/>
      <c r="AW76" s="4"/>
      <c r="BM76" s="4"/>
      <c r="BN76" s="4"/>
    </row>
    <row r="77" spans="1:66" s="6" customFormat="1" ht="140.25" x14ac:dyDescent="0.25">
      <c r="A77" s="46" t="s">
        <v>148</v>
      </c>
      <c r="B77" s="21" t="s">
        <v>103</v>
      </c>
      <c r="C77" s="113" t="s">
        <v>149</v>
      </c>
      <c r="D77" s="23">
        <v>23000</v>
      </c>
      <c r="E77" s="23">
        <v>0</v>
      </c>
      <c r="F77" s="23">
        <v>0</v>
      </c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5"/>
      <c r="W77" s="4"/>
      <c r="X77" s="4"/>
      <c r="Y77" s="4"/>
      <c r="Z77" s="4"/>
      <c r="AC77" s="7"/>
      <c r="AD77" s="7"/>
      <c r="AE77" s="7"/>
      <c r="AF77" s="7"/>
      <c r="AG77" s="7"/>
      <c r="AH77" s="7"/>
      <c r="AI77" s="4"/>
      <c r="AJ77" s="4"/>
      <c r="AK77" s="4"/>
      <c r="AL77" s="4"/>
      <c r="AM77" s="4"/>
      <c r="AN77" s="4"/>
      <c r="AO77" s="4"/>
      <c r="AP77" s="4"/>
      <c r="AQ77" s="4"/>
      <c r="AR77" s="8"/>
      <c r="AS77" s="8"/>
      <c r="AT77" s="4"/>
      <c r="AU77" s="4"/>
      <c r="AV77" s="4"/>
      <c r="AW77" s="4"/>
      <c r="BM77" s="4"/>
      <c r="BN77" s="4"/>
    </row>
    <row r="78" spans="1:66" s="6" customFormat="1" ht="51" x14ac:dyDescent="0.25">
      <c r="A78" s="46" t="s">
        <v>150</v>
      </c>
      <c r="B78" s="21" t="s">
        <v>11</v>
      </c>
      <c r="C78" s="113" t="s">
        <v>151</v>
      </c>
      <c r="D78" s="23">
        <f>+D79</f>
        <v>60000</v>
      </c>
      <c r="E78" s="23">
        <f t="shared" ref="E78:F78" si="18">+E79</f>
        <v>0</v>
      </c>
      <c r="F78" s="23">
        <f t="shared" si="18"/>
        <v>0</v>
      </c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5"/>
      <c r="W78" s="4"/>
      <c r="X78" s="4"/>
      <c r="Y78" s="4"/>
      <c r="Z78" s="4"/>
      <c r="AC78" s="7"/>
      <c r="AD78" s="7"/>
      <c r="AE78" s="7"/>
      <c r="AF78" s="7"/>
      <c r="AG78" s="7"/>
      <c r="AH78" s="7"/>
      <c r="AI78" s="4"/>
      <c r="AJ78" s="4"/>
      <c r="AK78" s="4"/>
      <c r="AL78" s="4"/>
      <c r="AM78" s="4"/>
      <c r="AN78" s="4"/>
      <c r="AO78" s="4"/>
      <c r="AP78" s="4"/>
      <c r="AQ78" s="4"/>
      <c r="AR78" s="8"/>
      <c r="AS78" s="8"/>
      <c r="AT78" s="4"/>
      <c r="AU78" s="4"/>
      <c r="AV78" s="4"/>
      <c r="AW78" s="4"/>
      <c r="BM78" s="4"/>
      <c r="BN78" s="4"/>
    </row>
    <row r="79" spans="1:66" s="6" customFormat="1" ht="114.75" x14ac:dyDescent="0.25">
      <c r="A79" s="46" t="s">
        <v>152</v>
      </c>
      <c r="B79" s="21" t="s">
        <v>103</v>
      </c>
      <c r="C79" s="113" t="s">
        <v>153</v>
      </c>
      <c r="D79" s="23">
        <v>60000</v>
      </c>
      <c r="E79" s="23">
        <v>0</v>
      </c>
      <c r="F79" s="23">
        <v>0</v>
      </c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5"/>
      <c r="W79" s="4"/>
      <c r="X79" s="4"/>
      <c r="Y79" s="4"/>
      <c r="Z79" s="4"/>
      <c r="AC79" s="7"/>
      <c r="AD79" s="7"/>
      <c r="AE79" s="7"/>
      <c r="AF79" s="7"/>
      <c r="AG79" s="7"/>
      <c r="AH79" s="7"/>
      <c r="AI79" s="4"/>
      <c r="AJ79" s="4"/>
      <c r="AK79" s="4"/>
      <c r="AL79" s="4"/>
      <c r="AM79" s="4"/>
      <c r="AN79" s="4"/>
      <c r="AO79" s="4"/>
      <c r="AP79" s="4"/>
      <c r="AQ79" s="4"/>
      <c r="AR79" s="8"/>
      <c r="AS79" s="8"/>
      <c r="AT79" s="4"/>
      <c r="AU79" s="4"/>
      <c r="AV79" s="4"/>
      <c r="AW79" s="4"/>
      <c r="BM79" s="4"/>
      <c r="BN79" s="4"/>
    </row>
    <row r="80" spans="1:66" s="6" customFormat="1" ht="25.5" x14ac:dyDescent="0.25">
      <c r="A80" s="38" t="s">
        <v>154</v>
      </c>
      <c r="B80" s="21" t="s">
        <v>11</v>
      </c>
      <c r="C80" s="24" t="s">
        <v>155</v>
      </c>
      <c r="D80" s="23">
        <f t="shared" ref="D80:F81" si="19">+D81</f>
        <v>938171</v>
      </c>
      <c r="E80" s="23">
        <f t="shared" si="19"/>
        <v>80000</v>
      </c>
      <c r="F80" s="23">
        <f t="shared" si="19"/>
        <v>92000</v>
      </c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5"/>
      <c r="W80" s="4"/>
      <c r="X80" s="4"/>
      <c r="Y80" s="4"/>
      <c r="Z80" s="4"/>
      <c r="AC80" s="7"/>
      <c r="AD80" s="7"/>
      <c r="AE80" s="7"/>
      <c r="AF80" s="7"/>
      <c r="AG80" s="7"/>
      <c r="AH80" s="7"/>
      <c r="AI80" s="4"/>
      <c r="AJ80" s="4"/>
      <c r="AK80" s="4"/>
      <c r="AL80" s="4"/>
      <c r="AM80" s="4"/>
      <c r="AN80" s="4"/>
      <c r="AO80" s="4"/>
      <c r="AP80" s="4"/>
      <c r="AQ80" s="4"/>
      <c r="AR80" s="8"/>
      <c r="AS80" s="8"/>
      <c r="AT80" s="4"/>
      <c r="AU80" s="4"/>
      <c r="AV80" s="4"/>
      <c r="AW80" s="4"/>
      <c r="BM80" s="4"/>
      <c r="BN80" s="4"/>
    </row>
    <row r="81" spans="1:66" s="6" customFormat="1" ht="43.9" customHeight="1" x14ac:dyDescent="0.25">
      <c r="A81" s="38" t="s">
        <v>156</v>
      </c>
      <c r="B81" s="21" t="s">
        <v>11</v>
      </c>
      <c r="C81" s="24" t="s">
        <v>157</v>
      </c>
      <c r="D81" s="23">
        <f t="shared" si="19"/>
        <v>938171</v>
      </c>
      <c r="E81" s="23">
        <f t="shared" si="19"/>
        <v>80000</v>
      </c>
      <c r="F81" s="23">
        <f t="shared" si="19"/>
        <v>92000</v>
      </c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5"/>
      <c r="W81" s="4"/>
      <c r="X81" s="4"/>
      <c r="Y81" s="4"/>
      <c r="Z81" s="4"/>
      <c r="AC81" s="7"/>
      <c r="AD81" s="7"/>
      <c r="AE81" s="7"/>
      <c r="AF81" s="7"/>
      <c r="AG81" s="7"/>
      <c r="AH81" s="7"/>
      <c r="AI81" s="4"/>
      <c r="AJ81" s="4"/>
      <c r="AK81" s="4"/>
      <c r="AL81" s="4"/>
      <c r="AM81" s="4"/>
      <c r="AN81" s="4"/>
      <c r="AO81" s="4"/>
      <c r="AP81" s="4"/>
      <c r="AQ81" s="4"/>
      <c r="AR81" s="8"/>
      <c r="AS81" s="8"/>
      <c r="AT81" s="4"/>
      <c r="AU81" s="4"/>
      <c r="AV81" s="4"/>
      <c r="AW81" s="4"/>
      <c r="BM81" s="4"/>
      <c r="BN81" s="4"/>
    </row>
    <row r="82" spans="1:66" s="6" customFormat="1" ht="43.15" customHeight="1" x14ac:dyDescent="0.25">
      <c r="A82" s="38" t="s">
        <v>158</v>
      </c>
      <c r="B82" s="21" t="s">
        <v>103</v>
      </c>
      <c r="C82" s="24" t="s">
        <v>159</v>
      </c>
      <c r="D82" s="23">
        <f>68000+529504+340667</f>
        <v>938171</v>
      </c>
      <c r="E82" s="23">
        <v>80000</v>
      </c>
      <c r="F82" s="23">
        <v>92000</v>
      </c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5"/>
      <c r="W82" s="4"/>
      <c r="X82" s="4"/>
      <c r="Y82" s="4"/>
      <c r="Z82" s="4"/>
      <c r="AC82" s="7"/>
      <c r="AD82" s="7"/>
      <c r="AE82" s="7"/>
      <c r="AF82" s="7"/>
      <c r="AG82" s="7"/>
      <c r="AH82" s="7"/>
      <c r="AI82" s="4"/>
      <c r="AJ82" s="4"/>
      <c r="AK82" s="4"/>
      <c r="AL82" s="4"/>
      <c r="AM82" s="4"/>
      <c r="AN82" s="4"/>
      <c r="AO82" s="4"/>
      <c r="AP82" s="4"/>
      <c r="AQ82" s="4"/>
      <c r="AR82" s="8"/>
      <c r="AS82" s="8"/>
      <c r="AT82" s="4"/>
      <c r="AU82" s="4"/>
      <c r="AV82" s="4"/>
      <c r="AW82" s="4"/>
      <c r="BM82" s="4"/>
      <c r="BN82" s="4"/>
    </row>
    <row r="83" spans="1:66" s="6" customFormat="1" ht="69" customHeight="1" x14ac:dyDescent="0.25">
      <c r="A83" s="38" t="s">
        <v>160</v>
      </c>
      <c r="B83" s="21" t="s">
        <v>11</v>
      </c>
      <c r="C83" s="24" t="s">
        <v>161</v>
      </c>
      <c r="D83" s="23">
        <f>+D84+D89</f>
        <v>18156648</v>
      </c>
      <c r="E83" s="23">
        <f t="shared" ref="E83:F83" si="20">+E84+E89</f>
        <v>17186911</v>
      </c>
      <c r="F83" s="23">
        <f t="shared" si="20"/>
        <v>17724388</v>
      </c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5"/>
      <c r="W83" s="4"/>
      <c r="X83" s="4"/>
      <c r="Y83" s="4"/>
      <c r="Z83" s="4"/>
      <c r="AC83" s="7"/>
      <c r="AD83" s="7"/>
      <c r="AE83" s="7"/>
      <c r="AF83" s="7"/>
      <c r="AG83" s="7"/>
      <c r="AH83" s="7"/>
      <c r="AI83" s="4"/>
      <c r="AJ83" s="4"/>
      <c r="AK83" s="4"/>
      <c r="AL83" s="4"/>
      <c r="AM83" s="4"/>
      <c r="AN83" s="4"/>
      <c r="AO83" s="4"/>
      <c r="AP83" s="4"/>
      <c r="AQ83" s="4"/>
      <c r="AR83" s="8"/>
      <c r="AS83" s="8"/>
      <c r="AT83" s="4"/>
      <c r="AU83" s="4"/>
      <c r="AV83" s="4"/>
      <c r="AW83" s="4"/>
      <c r="BM83" s="4"/>
      <c r="BN83" s="4"/>
    </row>
    <row r="84" spans="1:66" s="6" customFormat="1" ht="69" customHeight="1" x14ac:dyDescent="0.25">
      <c r="A84" s="38" t="s">
        <v>162</v>
      </c>
      <c r="B84" s="21" t="s">
        <v>11</v>
      </c>
      <c r="C84" s="43" t="s">
        <v>163</v>
      </c>
      <c r="D84" s="23">
        <f t="shared" ref="D84:F85" si="21">+D85</f>
        <v>7500000</v>
      </c>
      <c r="E84" s="23">
        <f t="shared" si="21"/>
        <v>6250000</v>
      </c>
      <c r="F84" s="23">
        <f t="shared" si="21"/>
        <v>6350000</v>
      </c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5"/>
      <c r="W84" s="4"/>
      <c r="X84" s="4"/>
      <c r="Y84" s="4"/>
      <c r="Z84" s="4"/>
      <c r="AC84" s="7"/>
      <c r="AD84" s="7"/>
      <c r="AE84" s="7"/>
      <c r="AF84" s="7"/>
      <c r="AG84" s="7"/>
      <c r="AH84" s="7"/>
      <c r="AI84" s="4"/>
      <c r="AJ84" s="4"/>
      <c r="AK84" s="4"/>
      <c r="AL84" s="4"/>
      <c r="AM84" s="4"/>
      <c r="AN84" s="4"/>
      <c r="AO84" s="4"/>
      <c r="AP84" s="4"/>
      <c r="AQ84" s="4"/>
      <c r="AR84" s="8"/>
      <c r="AS84" s="8"/>
      <c r="AT84" s="4"/>
      <c r="AU84" s="4"/>
      <c r="AV84" s="4"/>
      <c r="AW84" s="4"/>
      <c r="BM84" s="4"/>
      <c r="BN84" s="4"/>
    </row>
    <row r="85" spans="1:66" s="6" customFormat="1" ht="67.150000000000006" customHeight="1" x14ac:dyDescent="0.25">
      <c r="A85" s="38" t="s">
        <v>164</v>
      </c>
      <c r="B85" s="21" t="s">
        <v>11</v>
      </c>
      <c r="C85" s="24" t="s">
        <v>165</v>
      </c>
      <c r="D85" s="23">
        <f t="shared" si="21"/>
        <v>7500000</v>
      </c>
      <c r="E85" s="23">
        <f t="shared" si="21"/>
        <v>6250000</v>
      </c>
      <c r="F85" s="23">
        <f t="shared" si="21"/>
        <v>6350000</v>
      </c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5"/>
      <c r="W85" s="4"/>
      <c r="X85" s="4"/>
      <c r="Y85" s="4"/>
      <c r="Z85" s="4"/>
      <c r="AC85" s="7"/>
      <c r="AD85" s="7"/>
      <c r="AE85" s="7"/>
      <c r="AF85" s="7"/>
      <c r="AG85" s="7"/>
      <c r="AH85" s="7"/>
      <c r="AI85" s="4"/>
      <c r="AJ85" s="4"/>
      <c r="AK85" s="4"/>
      <c r="AL85" s="4"/>
      <c r="AM85" s="4"/>
      <c r="AN85" s="4"/>
      <c r="AO85" s="4"/>
      <c r="AP85" s="4"/>
      <c r="AQ85" s="4"/>
      <c r="AR85" s="8"/>
      <c r="AS85" s="8"/>
      <c r="AT85" s="4"/>
      <c r="AU85" s="4"/>
      <c r="AV85" s="4"/>
      <c r="AW85" s="4"/>
      <c r="BM85" s="4"/>
      <c r="BN85" s="4"/>
    </row>
    <row r="86" spans="1:66" s="6" customFormat="1" ht="82.15" customHeight="1" x14ac:dyDescent="0.2">
      <c r="A86" s="52" t="s">
        <v>166</v>
      </c>
      <c r="B86" s="21" t="s">
        <v>11</v>
      </c>
      <c r="C86" s="24" t="s">
        <v>167</v>
      </c>
      <c r="D86" s="23">
        <f t="shared" ref="D86:F86" si="22">+D87+D88</f>
        <v>7500000</v>
      </c>
      <c r="E86" s="23">
        <f t="shared" si="22"/>
        <v>6250000</v>
      </c>
      <c r="F86" s="23">
        <f t="shared" si="22"/>
        <v>6350000</v>
      </c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5"/>
      <c r="W86" s="4"/>
      <c r="X86" s="4"/>
      <c r="Y86" s="4"/>
      <c r="Z86" s="4"/>
      <c r="AC86" s="7"/>
      <c r="AD86" s="7"/>
      <c r="AE86" s="7"/>
      <c r="AF86" s="7"/>
      <c r="AG86" s="7"/>
      <c r="AH86" s="7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BM86" s="4"/>
      <c r="BN86" s="4"/>
    </row>
    <row r="87" spans="1:66" s="6" customFormat="1" ht="83.45" customHeight="1" x14ac:dyDescent="0.2">
      <c r="A87" s="52" t="s">
        <v>168</v>
      </c>
      <c r="B87" s="21" t="s">
        <v>108</v>
      </c>
      <c r="C87" s="24" t="s">
        <v>169</v>
      </c>
      <c r="D87" s="23">
        <f>6000000+1000000</f>
        <v>7000000</v>
      </c>
      <c r="E87" s="23">
        <v>5900000</v>
      </c>
      <c r="F87" s="23">
        <v>6000000</v>
      </c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5"/>
      <c r="W87" s="4"/>
      <c r="X87" s="4"/>
      <c r="Y87" s="4"/>
      <c r="Z87" s="4"/>
      <c r="AC87" s="7"/>
      <c r="AD87" s="7"/>
      <c r="AE87" s="7"/>
      <c r="AF87" s="7"/>
      <c r="AG87" s="7"/>
      <c r="AH87" s="7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BM87" s="4"/>
      <c r="BN87" s="4"/>
    </row>
    <row r="88" spans="1:66" s="6" customFormat="1" ht="82.15" customHeight="1" x14ac:dyDescent="0.2">
      <c r="A88" s="52" t="s">
        <v>170</v>
      </c>
      <c r="B88" s="21" t="s">
        <v>108</v>
      </c>
      <c r="C88" s="24" t="s">
        <v>171</v>
      </c>
      <c r="D88" s="23">
        <f>350000+150000</f>
        <v>500000</v>
      </c>
      <c r="E88" s="23">
        <v>350000</v>
      </c>
      <c r="F88" s="23">
        <v>350000</v>
      </c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5"/>
      <c r="W88" s="4"/>
      <c r="X88" s="4"/>
      <c r="Y88" s="4"/>
      <c r="Z88" s="4"/>
      <c r="AC88" s="7"/>
      <c r="AD88" s="7"/>
      <c r="AE88" s="7"/>
      <c r="AF88" s="7"/>
      <c r="AG88" s="7"/>
      <c r="AH88" s="7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BM88" s="4"/>
      <c r="BN88" s="4"/>
    </row>
    <row r="89" spans="1:66" s="6" customFormat="1" ht="99.6" customHeight="1" x14ac:dyDescent="0.2">
      <c r="A89" s="52" t="s">
        <v>172</v>
      </c>
      <c r="B89" s="21" t="s">
        <v>11</v>
      </c>
      <c r="C89" s="24" t="s">
        <v>173</v>
      </c>
      <c r="D89" s="23">
        <f t="shared" ref="D89:F89" si="23">+D90</f>
        <v>10656648</v>
      </c>
      <c r="E89" s="23">
        <f t="shared" si="23"/>
        <v>10936911</v>
      </c>
      <c r="F89" s="23">
        <f t="shared" si="23"/>
        <v>11374388</v>
      </c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5"/>
      <c r="W89" s="4"/>
      <c r="X89" s="4"/>
      <c r="Y89" s="4"/>
      <c r="Z89" s="4"/>
      <c r="AC89" s="7"/>
      <c r="AD89" s="7"/>
      <c r="AE89" s="7"/>
      <c r="AF89" s="7"/>
      <c r="AG89" s="7"/>
      <c r="AH89" s="7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BM89" s="4"/>
      <c r="BN89" s="4"/>
    </row>
    <row r="90" spans="1:66" s="6" customFormat="1" ht="81.599999999999994" customHeight="1" x14ac:dyDescent="0.2">
      <c r="A90" s="52" t="s">
        <v>174</v>
      </c>
      <c r="B90" s="21" t="s">
        <v>11</v>
      </c>
      <c r="C90" s="24" t="s">
        <v>175</v>
      </c>
      <c r="D90" s="23">
        <f>+D91+D93+D95</f>
        <v>10656648</v>
      </c>
      <c r="E90" s="23">
        <f t="shared" ref="E90:F90" si="24">+E91+E93+E95</f>
        <v>10936911</v>
      </c>
      <c r="F90" s="23">
        <f t="shared" si="24"/>
        <v>11374388</v>
      </c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5"/>
      <c r="W90" s="4"/>
      <c r="X90" s="4"/>
      <c r="Y90" s="4"/>
      <c r="Z90" s="4"/>
      <c r="AC90" s="7"/>
      <c r="AD90" s="7"/>
      <c r="AE90" s="7"/>
      <c r="AF90" s="7"/>
      <c r="AG90" s="7"/>
      <c r="AH90" s="7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BM90" s="4"/>
      <c r="BN90" s="4"/>
    </row>
    <row r="91" spans="1:66" s="6" customFormat="1" ht="81.599999999999994" customHeight="1" x14ac:dyDescent="0.2">
      <c r="A91" s="52" t="s">
        <v>174</v>
      </c>
      <c r="B91" s="21" t="s">
        <v>11</v>
      </c>
      <c r="C91" s="24" t="s">
        <v>176</v>
      </c>
      <c r="D91" s="23">
        <f t="shared" ref="D91:F91" si="25">+D92</f>
        <v>5294488</v>
      </c>
      <c r="E91" s="23">
        <f t="shared" si="25"/>
        <v>6310920</v>
      </c>
      <c r="F91" s="23">
        <f t="shared" si="25"/>
        <v>6563357</v>
      </c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5"/>
      <c r="W91" s="4"/>
      <c r="X91" s="4"/>
      <c r="Y91" s="4"/>
      <c r="Z91" s="4"/>
      <c r="AC91" s="7"/>
      <c r="AD91" s="7"/>
      <c r="AE91" s="7"/>
      <c r="AF91" s="7"/>
      <c r="AG91" s="7"/>
      <c r="AH91" s="7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BM91" s="4"/>
      <c r="BN91" s="4"/>
    </row>
    <row r="92" spans="1:66" s="6" customFormat="1" ht="102.75" customHeight="1" x14ac:dyDescent="0.2">
      <c r="A92" s="38" t="s">
        <v>177</v>
      </c>
      <c r="B92" s="21" t="s">
        <v>103</v>
      </c>
      <c r="C92" s="24" t="s">
        <v>178</v>
      </c>
      <c r="D92" s="23">
        <f>6074033-779545</f>
        <v>5294488</v>
      </c>
      <c r="E92" s="23">
        <v>6310920</v>
      </c>
      <c r="F92" s="23">
        <v>6563357</v>
      </c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5"/>
      <c r="W92" s="4"/>
      <c r="X92" s="4"/>
      <c r="Y92" s="4"/>
      <c r="Z92" s="4"/>
      <c r="AC92" s="7"/>
      <c r="AD92" s="7"/>
      <c r="AE92" s="7"/>
      <c r="AF92" s="7"/>
      <c r="AG92" s="7"/>
      <c r="AH92" s="7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BM92" s="4"/>
      <c r="BN92" s="4"/>
    </row>
    <row r="93" spans="1:66" s="6" customFormat="1" ht="83.45" customHeight="1" x14ac:dyDescent="0.2">
      <c r="A93" s="52" t="s">
        <v>174</v>
      </c>
      <c r="B93" s="21" t="s">
        <v>11</v>
      </c>
      <c r="C93" s="24" t="s">
        <v>179</v>
      </c>
      <c r="D93" s="23">
        <f t="shared" ref="D93:F93" si="26">+D94</f>
        <v>2430100</v>
      </c>
      <c r="E93" s="23">
        <f t="shared" si="26"/>
        <v>2292979</v>
      </c>
      <c r="F93" s="23">
        <f t="shared" si="26"/>
        <v>2384698</v>
      </c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5"/>
      <c r="W93" s="4"/>
      <c r="X93" s="4"/>
      <c r="Y93" s="4"/>
      <c r="Z93" s="4"/>
      <c r="AC93" s="7"/>
      <c r="AD93" s="7"/>
      <c r="AE93" s="7"/>
      <c r="AF93" s="7"/>
      <c r="AG93" s="7"/>
      <c r="AH93" s="7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BM93" s="4"/>
      <c r="BN93" s="4"/>
    </row>
    <row r="94" spans="1:66" s="6" customFormat="1" ht="114.75" x14ac:dyDescent="0.2">
      <c r="A94" s="38" t="s">
        <v>180</v>
      </c>
      <c r="B94" s="21" t="s">
        <v>103</v>
      </c>
      <c r="C94" s="24" t="s">
        <v>181</v>
      </c>
      <c r="D94" s="23">
        <f>2206910+223190</f>
        <v>2430100</v>
      </c>
      <c r="E94" s="23">
        <v>2292979</v>
      </c>
      <c r="F94" s="23">
        <v>2384698</v>
      </c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5"/>
      <c r="W94" s="4"/>
      <c r="X94" s="4"/>
      <c r="Y94" s="4"/>
      <c r="Z94" s="4"/>
      <c r="AC94" s="7"/>
      <c r="AD94" s="7"/>
      <c r="AE94" s="7"/>
      <c r="AF94" s="7"/>
      <c r="AG94" s="7"/>
      <c r="AH94" s="7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BM94" s="4"/>
      <c r="BN94" s="4"/>
    </row>
    <row r="95" spans="1:66" s="6" customFormat="1" ht="87.75" customHeight="1" x14ac:dyDescent="0.2">
      <c r="A95" s="38" t="s">
        <v>174</v>
      </c>
      <c r="B95" s="21" t="s">
        <v>11</v>
      </c>
      <c r="C95" s="44" t="s">
        <v>182</v>
      </c>
      <c r="D95" s="23">
        <f t="shared" ref="D95:F95" si="27">+D96</f>
        <v>2932060</v>
      </c>
      <c r="E95" s="23">
        <f t="shared" si="27"/>
        <v>2333012</v>
      </c>
      <c r="F95" s="23">
        <f t="shared" si="27"/>
        <v>2426333</v>
      </c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5"/>
      <c r="W95" s="4"/>
      <c r="X95" s="4"/>
      <c r="Y95" s="4"/>
      <c r="Z95" s="4"/>
      <c r="AC95" s="7"/>
      <c r="AD95" s="7"/>
      <c r="AE95" s="7"/>
      <c r="AF95" s="7"/>
      <c r="AG95" s="7"/>
      <c r="AH95" s="7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BM95" s="4"/>
      <c r="BN95" s="4"/>
    </row>
    <row r="96" spans="1:66" s="6" customFormat="1" ht="96" customHeight="1" x14ac:dyDescent="0.2">
      <c r="A96" s="38" t="s">
        <v>183</v>
      </c>
      <c r="B96" s="21" t="s">
        <v>103</v>
      </c>
      <c r="C96" s="44" t="s">
        <v>184</v>
      </c>
      <c r="D96" s="23">
        <f>2245440+686620</f>
        <v>2932060</v>
      </c>
      <c r="E96" s="23">
        <v>2333012</v>
      </c>
      <c r="F96" s="23">
        <v>2426333</v>
      </c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5"/>
      <c r="W96" s="4"/>
      <c r="X96" s="4"/>
      <c r="Y96" s="4"/>
      <c r="Z96" s="4"/>
      <c r="AC96" s="7"/>
      <c r="AD96" s="7"/>
      <c r="AE96" s="7"/>
      <c r="AF96" s="7"/>
      <c r="AG96" s="7"/>
      <c r="AH96" s="7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BM96" s="4"/>
      <c r="BN96" s="4"/>
    </row>
    <row r="97" spans="1:66" s="6" customFormat="1" ht="25.5" x14ac:dyDescent="0.25">
      <c r="A97" s="20" t="s">
        <v>185</v>
      </c>
      <c r="B97" s="21" t="s">
        <v>11</v>
      </c>
      <c r="C97" s="24" t="s">
        <v>186</v>
      </c>
      <c r="D97" s="23">
        <f>+D98+D104</f>
        <v>31029468.030000001</v>
      </c>
      <c r="E97" s="23">
        <f>+E98+E104</f>
        <v>18270156</v>
      </c>
      <c r="F97" s="23">
        <f>+F98+F104</f>
        <v>18982176</v>
      </c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5"/>
      <c r="W97" s="4"/>
      <c r="X97" s="4"/>
      <c r="Y97" s="4"/>
      <c r="Z97" s="4"/>
      <c r="AC97" s="7"/>
      <c r="AD97" s="7"/>
      <c r="AE97" s="7"/>
      <c r="AF97" s="7"/>
      <c r="AG97" s="7"/>
      <c r="AH97" s="7"/>
      <c r="AI97" s="4"/>
      <c r="AJ97" s="4"/>
      <c r="AK97" s="4"/>
      <c r="AL97" s="4"/>
      <c r="AM97" s="4"/>
      <c r="AN97" s="4"/>
      <c r="AO97" s="4"/>
      <c r="AP97" s="4"/>
      <c r="AQ97" s="4"/>
      <c r="AR97" s="8"/>
      <c r="AS97" s="8"/>
      <c r="AT97" s="4"/>
      <c r="AU97" s="4"/>
      <c r="AV97" s="4"/>
      <c r="AW97" s="4"/>
      <c r="BM97" s="4"/>
      <c r="BN97" s="4"/>
    </row>
    <row r="98" spans="1:66" s="6" customFormat="1" ht="15.6" customHeight="1" x14ac:dyDescent="0.25">
      <c r="A98" s="38" t="s">
        <v>187</v>
      </c>
      <c r="B98" s="21" t="s">
        <v>11</v>
      </c>
      <c r="C98" s="24" t="s">
        <v>188</v>
      </c>
      <c r="D98" s="53">
        <f t="shared" ref="D98:F98" si="28">+D99+D100+D101</f>
        <v>30578447.030000001</v>
      </c>
      <c r="E98" s="53">
        <f t="shared" si="28"/>
        <v>17800650</v>
      </c>
      <c r="F98" s="53">
        <f t="shared" si="28"/>
        <v>18512670</v>
      </c>
      <c r="G98" s="4"/>
      <c r="H98" s="4"/>
      <c r="I98" s="4"/>
      <c r="J98" s="4"/>
      <c r="K98" s="4"/>
      <c r="L98" s="128"/>
      <c r="M98" s="4"/>
      <c r="N98" s="4"/>
      <c r="O98" s="4"/>
      <c r="P98" s="4"/>
      <c r="Q98" s="4"/>
      <c r="R98" s="4"/>
      <c r="S98" s="4"/>
      <c r="T98" s="4"/>
      <c r="U98" s="4"/>
      <c r="V98" s="5"/>
      <c r="W98" s="4"/>
      <c r="X98" s="4"/>
      <c r="Y98" s="4"/>
      <c r="Z98" s="4"/>
      <c r="AC98" s="7"/>
      <c r="AD98" s="7"/>
      <c r="AE98" s="7"/>
      <c r="AF98" s="7"/>
      <c r="AG98" s="7"/>
      <c r="AH98" s="7"/>
      <c r="AI98" s="4"/>
      <c r="AJ98" s="4"/>
      <c r="AK98" s="4"/>
      <c r="AL98" s="4"/>
      <c r="AM98" s="137"/>
      <c r="AN98" s="4"/>
      <c r="AO98" s="4"/>
      <c r="AP98" s="4"/>
      <c r="AQ98" s="4"/>
      <c r="AR98" s="128"/>
      <c r="AS98" s="8"/>
      <c r="AT98" s="4"/>
      <c r="AU98" s="4"/>
      <c r="AV98" s="4"/>
      <c r="AW98" s="4"/>
      <c r="BM98" s="4"/>
      <c r="BN98" s="4"/>
    </row>
    <row r="99" spans="1:66" s="6" customFormat="1" ht="28.15" customHeight="1" x14ac:dyDescent="0.25">
      <c r="A99" s="38" t="s">
        <v>189</v>
      </c>
      <c r="B99" s="21" t="s">
        <v>190</v>
      </c>
      <c r="C99" s="24" t="s">
        <v>191</v>
      </c>
      <c r="D99" s="23">
        <f>1803770+619376.73</f>
        <v>2423146.73</v>
      </c>
      <c r="E99" s="23">
        <v>1875920</v>
      </c>
      <c r="F99" s="23">
        <v>1950960</v>
      </c>
      <c r="G99" s="4"/>
      <c r="H99" s="34"/>
      <c r="I99" s="34"/>
      <c r="J99" s="34"/>
      <c r="K99" s="34"/>
      <c r="L99" s="128"/>
      <c r="M99" s="4"/>
      <c r="N99" s="4"/>
      <c r="O99" s="4"/>
      <c r="P99" s="4"/>
      <c r="Q99" s="4"/>
      <c r="R99" s="4"/>
      <c r="S99" s="4"/>
      <c r="T99" s="4"/>
      <c r="U99" s="4"/>
      <c r="V99" s="5"/>
      <c r="W99" s="4"/>
      <c r="X99" s="4"/>
      <c r="Y99" s="4"/>
      <c r="Z99" s="4"/>
      <c r="AC99" s="7"/>
      <c r="AD99" s="7"/>
      <c r="AE99" s="7"/>
      <c r="AF99" s="7"/>
      <c r="AG99" s="7"/>
      <c r="AH99" s="7"/>
      <c r="AI99" s="4"/>
      <c r="AJ99" s="4"/>
      <c r="AK99" s="4"/>
      <c r="AL99" s="4"/>
      <c r="AM99" s="137"/>
      <c r="AN99" s="34"/>
      <c r="AO99" s="34"/>
      <c r="AP99" s="34"/>
      <c r="AQ99" s="34"/>
      <c r="AR99" s="128"/>
      <c r="AS99" s="8"/>
      <c r="AT99" s="4"/>
      <c r="AU99" s="4"/>
      <c r="AV99" s="4"/>
      <c r="AW99" s="4"/>
      <c r="BM99" s="54"/>
      <c r="BN99" s="4"/>
    </row>
    <row r="100" spans="1:66" s="6" customFormat="1" x14ac:dyDescent="0.25">
      <c r="A100" s="38" t="s">
        <v>192</v>
      </c>
      <c r="B100" s="21" t="s">
        <v>190</v>
      </c>
      <c r="C100" s="24" t="s">
        <v>193</v>
      </c>
      <c r="D100" s="23">
        <f>12638080+10000000+2491350.3</f>
        <v>25129430.300000001</v>
      </c>
      <c r="E100" s="23">
        <v>13143600</v>
      </c>
      <c r="F100" s="23">
        <v>13669340</v>
      </c>
      <c r="G100" s="4"/>
      <c r="H100" s="34"/>
      <c r="I100" s="34"/>
      <c r="J100" s="34"/>
      <c r="K100" s="34"/>
      <c r="L100" s="128"/>
      <c r="M100" s="4"/>
      <c r="N100" s="4"/>
      <c r="O100" s="4"/>
      <c r="P100" s="4"/>
      <c r="Q100" s="4"/>
      <c r="R100" s="4"/>
      <c r="S100" s="4"/>
      <c r="T100" s="4"/>
      <c r="U100" s="4"/>
      <c r="V100" s="5"/>
      <c r="W100" s="4"/>
      <c r="X100" s="4"/>
      <c r="Y100" s="4"/>
      <c r="Z100" s="4"/>
      <c r="AC100" s="7"/>
      <c r="AD100" s="7"/>
      <c r="AE100" s="7"/>
      <c r="AF100" s="7"/>
      <c r="AG100" s="7"/>
      <c r="AH100" s="7"/>
      <c r="AI100" s="4"/>
      <c r="AJ100" s="4"/>
      <c r="AK100" s="4"/>
      <c r="AL100" s="4"/>
      <c r="AM100" s="137"/>
      <c r="AN100" s="34"/>
      <c r="AO100" s="34"/>
      <c r="AP100" s="34"/>
      <c r="AQ100" s="34"/>
      <c r="AR100" s="128"/>
      <c r="AS100" s="8"/>
      <c r="AT100" s="4"/>
      <c r="AU100" s="4"/>
      <c r="AV100" s="4"/>
      <c r="AW100" s="4"/>
      <c r="BM100" s="54"/>
      <c r="BN100" s="4"/>
    </row>
    <row r="101" spans="1:66" s="6" customFormat="1" x14ac:dyDescent="0.25">
      <c r="A101" s="38" t="s">
        <v>194</v>
      </c>
      <c r="B101" s="21" t="s">
        <v>11</v>
      </c>
      <c r="C101" s="24" t="s">
        <v>195</v>
      </c>
      <c r="D101" s="23">
        <f>+D102+D103</f>
        <v>3025870</v>
      </c>
      <c r="E101" s="23">
        <f>+E102+E103</f>
        <v>2781130</v>
      </c>
      <c r="F101" s="23">
        <f>+F102+F103</f>
        <v>2892370</v>
      </c>
      <c r="G101" s="4"/>
      <c r="H101" s="34"/>
      <c r="I101" s="34"/>
      <c r="J101" s="34"/>
      <c r="K101" s="34"/>
      <c r="L101" s="128"/>
      <c r="M101" s="4"/>
      <c r="N101" s="4"/>
      <c r="O101" s="4"/>
      <c r="P101" s="4"/>
      <c r="Q101" s="4"/>
      <c r="R101" s="4"/>
      <c r="S101" s="4"/>
      <c r="T101" s="4"/>
      <c r="U101" s="4"/>
      <c r="V101" s="5"/>
      <c r="W101" s="4"/>
      <c r="X101" s="4"/>
      <c r="Y101" s="4"/>
      <c r="Z101" s="4"/>
      <c r="AC101" s="7"/>
      <c r="AD101" s="7"/>
      <c r="AE101" s="7"/>
      <c r="AF101" s="7"/>
      <c r="AG101" s="7"/>
      <c r="AH101" s="7"/>
      <c r="AI101" s="4"/>
      <c r="AJ101" s="4"/>
      <c r="AK101" s="4"/>
      <c r="AL101" s="4"/>
      <c r="AM101" s="137"/>
      <c r="AN101" s="34"/>
      <c r="AO101" s="34"/>
      <c r="AP101" s="34"/>
      <c r="AQ101" s="34"/>
      <c r="AR101" s="128"/>
      <c r="AS101" s="8"/>
      <c r="AT101" s="4"/>
      <c r="AU101" s="4"/>
      <c r="AV101" s="4"/>
      <c r="AW101" s="4"/>
      <c r="BM101" s="4"/>
      <c r="BN101" s="4"/>
    </row>
    <row r="102" spans="1:66" s="6" customFormat="1" x14ac:dyDescent="0.25">
      <c r="A102" s="38" t="s">
        <v>196</v>
      </c>
      <c r="B102" s="21" t="s">
        <v>190</v>
      </c>
      <c r="C102" s="24" t="s">
        <v>197</v>
      </c>
      <c r="D102" s="23">
        <v>3040000</v>
      </c>
      <c r="E102" s="23">
        <v>2652940</v>
      </c>
      <c r="F102" s="23">
        <v>2759060</v>
      </c>
      <c r="G102" s="4"/>
      <c r="H102" s="34"/>
      <c r="I102" s="34"/>
      <c r="J102" s="34"/>
      <c r="K102" s="34"/>
      <c r="L102" s="128"/>
      <c r="M102" s="4"/>
      <c r="N102" s="4"/>
      <c r="O102" s="4"/>
      <c r="P102" s="4"/>
      <c r="Q102" s="4"/>
      <c r="R102" s="4"/>
      <c r="S102" s="4"/>
      <c r="T102" s="4"/>
      <c r="U102" s="4"/>
      <c r="V102" s="5"/>
      <c r="W102" s="4"/>
      <c r="X102" s="4"/>
      <c r="Y102" s="4"/>
      <c r="Z102" s="4"/>
      <c r="AC102" s="7"/>
      <c r="AD102" s="7"/>
      <c r="AE102" s="7"/>
      <c r="AF102" s="7"/>
      <c r="AG102" s="7"/>
      <c r="AH102" s="7"/>
      <c r="AI102" s="4"/>
      <c r="AJ102" s="4"/>
      <c r="AK102" s="4"/>
      <c r="AL102" s="4"/>
      <c r="AM102" s="137"/>
      <c r="AN102" s="34"/>
      <c r="AO102" s="34"/>
      <c r="AP102" s="34"/>
      <c r="AQ102" s="34"/>
      <c r="AR102" s="128"/>
      <c r="AS102" s="8"/>
      <c r="AT102" s="4"/>
      <c r="AU102" s="4"/>
      <c r="AV102" s="4"/>
      <c r="AW102" s="4"/>
      <c r="BM102" s="54"/>
      <c r="BN102" s="4"/>
    </row>
    <row r="103" spans="1:66" s="6" customFormat="1" x14ac:dyDescent="0.25">
      <c r="A103" s="38" t="s">
        <v>198</v>
      </c>
      <c r="B103" s="21" t="s">
        <v>190</v>
      </c>
      <c r="C103" s="24" t="s">
        <v>199</v>
      </c>
      <c r="D103" s="23">
        <v>-14130</v>
      </c>
      <c r="E103" s="23">
        <v>128190</v>
      </c>
      <c r="F103" s="23">
        <v>133310</v>
      </c>
      <c r="G103" s="4"/>
      <c r="H103" s="34"/>
      <c r="I103" s="34"/>
      <c r="J103" s="34"/>
      <c r="K103" s="34"/>
      <c r="L103" s="128"/>
      <c r="M103" s="4"/>
      <c r="N103" s="4"/>
      <c r="O103" s="4"/>
      <c r="P103" s="4"/>
      <c r="Q103" s="4"/>
      <c r="R103" s="4"/>
      <c r="S103" s="4"/>
      <c r="T103" s="4"/>
      <c r="U103" s="4"/>
      <c r="V103" s="5"/>
      <c r="W103" s="4"/>
      <c r="X103" s="4"/>
      <c r="Y103" s="4"/>
      <c r="Z103" s="4"/>
      <c r="AC103" s="7"/>
      <c r="AD103" s="7"/>
      <c r="AE103" s="7"/>
      <c r="AF103" s="7"/>
      <c r="AG103" s="7"/>
      <c r="AH103" s="7"/>
      <c r="AI103" s="4"/>
      <c r="AJ103" s="4"/>
      <c r="AK103" s="4"/>
      <c r="AL103" s="4"/>
      <c r="AM103" s="137"/>
      <c r="AN103" s="34"/>
      <c r="AO103" s="34"/>
      <c r="AP103" s="34"/>
      <c r="AQ103" s="34"/>
      <c r="AR103" s="128"/>
      <c r="AS103" s="8"/>
      <c r="AT103" s="4"/>
      <c r="AU103" s="4"/>
      <c r="AV103" s="4"/>
      <c r="AW103" s="4"/>
      <c r="BM103" s="54"/>
      <c r="BN103" s="4"/>
    </row>
    <row r="104" spans="1:66" s="6" customFormat="1" x14ac:dyDescent="0.25">
      <c r="A104" s="38" t="s">
        <v>200</v>
      </c>
      <c r="B104" s="21" t="s">
        <v>11</v>
      </c>
      <c r="C104" s="24" t="s">
        <v>201</v>
      </c>
      <c r="D104" s="23">
        <f t="shared" ref="D104:F105" si="29">+D105</f>
        <v>451021</v>
      </c>
      <c r="E104" s="23">
        <f t="shared" si="29"/>
        <v>469506</v>
      </c>
      <c r="F104" s="23">
        <f t="shared" si="29"/>
        <v>469506</v>
      </c>
      <c r="G104" s="4"/>
      <c r="H104" s="34"/>
      <c r="I104" s="34"/>
      <c r="J104" s="34"/>
      <c r="K104" s="34"/>
      <c r="L104" s="128"/>
      <c r="M104" s="4"/>
      <c r="N104" s="4"/>
      <c r="O104" s="4"/>
      <c r="P104" s="4"/>
      <c r="Q104" s="4"/>
      <c r="R104" s="4"/>
      <c r="S104" s="4"/>
      <c r="T104" s="4"/>
      <c r="U104" s="4"/>
      <c r="V104" s="5"/>
      <c r="W104" s="4"/>
      <c r="X104" s="4"/>
      <c r="Y104" s="4"/>
      <c r="Z104" s="4"/>
      <c r="AC104" s="7"/>
      <c r="AD104" s="7"/>
      <c r="AE104" s="7"/>
      <c r="AF104" s="7"/>
      <c r="AG104" s="7"/>
      <c r="AH104" s="7"/>
      <c r="AI104" s="4"/>
      <c r="AJ104" s="4"/>
      <c r="AK104" s="4"/>
      <c r="AL104" s="4"/>
      <c r="AM104" s="4"/>
      <c r="AN104" s="34"/>
      <c r="AO104" s="34"/>
      <c r="AP104" s="34"/>
      <c r="AQ104" s="34"/>
      <c r="AR104" s="128"/>
      <c r="AS104" s="8"/>
      <c r="AT104" s="4"/>
      <c r="AU104" s="4"/>
      <c r="AV104" s="4"/>
      <c r="AW104" s="4"/>
      <c r="BM104" s="4"/>
      <c r="BN104" s="4"/>
    </row>
    <row r="105" spans="1:66" s="6" customFormat="1" ht="25.5" x14ac:dyDescent="0.25">
      <c r="A105" s="38" t="s">
        <v>202</v>
      </c>
      <c r="B105" s="21" t="s">
        <v>11</v>
      </c>
      <c r="C105" s="24" t="s">
        <v>203</v>
      </c>
      <c r="D105" s="23">
        <f t="shared" si="29"/>
        <v>451021</v>
      </c>
      <c r="E105" s="23">
        <f t="shared" si="29"/>
        <v>469506</v>
      </c>
      <c r="F105" s="23">
        <f t="shared" si="29"/>
        <v>469506</v>
      </c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5"/>
      <c r="W105" s="4"/>
      <c r="X105" s="4"/>
      <c r="Y105" s="4"/>
      <c r="Z105" s="4"/>
      <c r="AC105" s="7"/>
      <c r="AD105" s="7"/>
      <c r="AE105" s="7"/>
      <c r="AF105" s="7"/>
      <c r="AG105" s="7"/>
      <c r="AH105" s="7"/>
      <c r="AI105" s="4"/>
      <c r="AJ105" s="4"/>
      <c r="AK105" s="4"/>
      <c r="AL105" s="4"/>
      <c r="AM105" s="4"/>
      <c r="AN105" s="4"/>
      <c r="AO105" s="4"/>
      <c r="AP105" s="4"/>
      <c r="AQ105" s="4"/>
      <c r="AR105" s="8"/>
      <c r="AS105" s="8"/>
      <c r="AT105" s="4"/>
      <c r="AU105" s="4"/>
      <c r="AV105" s="4"/>
      <c r="AW105" s="4"/>
      <c r="BM105" s="4"/>
      <c r="BN105" s="4"/>
    </row>
    <row r="106" spans="1:66" s="6" customFormat="1" ht="44.45" customHeight="1" x14ac:dyDescent="0.25">
      <c r="A106" s="38" t="s">
        <v>204</v>
      </c>
      <c r="B106" s="21" t="s">
        <v>103</v>
      </c>
      <c r="C106" s="24" t="s">
        <v>205</v>
      </c>
      <c r="D106" s="23">
        <v>451021</v>
      </c>
      <c r="E106" s="23">
        <v>469506</v>
      </c>
      <c r="F106" s="23">
        <v>469506</v>
      </c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5"/>
      <c r="W106" s="4"/>
      <c r="X106" s="4"/>
      <c r="Y106" s="4"/>
      <c r="Z106" s="4"/>
      <c r="AC106" s="7"/>
      <c r="AD106" s="7"/>
      <c r="AE106" s="7"/>
      <c r="AF106" s="7"/>
      <c r="AG106" s="7"/>
      <c r="AH106" s="7"/>
      <c r="AI106" s="4"/>
      <c r="AJ106" s="4"/>
      <c r="AK106" s="4"/>
      <c r="AL106" s="4"/>
      <c r="AM106" s="4"/>
      <c r="AN106" s="4"/>
      <c r="AO106" s="4"/>
      <c r="AP106" s="4"/>
      <c r="AQ106" s="4"/>
      <c r="AR106" s="8"/>
      <c r="AS106" s="8"/>
      <c r="AT106" s="4"/>
      <c r="AU106" s="4"/>
      <c r="AV106" s="4"/>
      <c r="AW106" s="4"/>
      <c r="BM106" s="4"/>
      <c r="BN106" s="4"/>
    </row>
    <row r="107" spans="1:66" s="30" customFormat="1" ht="28.15" customHeight="1" x14ac:dyDescent="0.2">
      <c r="A107" s="38" t="s">
        <v>206</v>
      </c>
      <c r="B107" s="21" t="s">
        <v>11</v>
      </c>
      <c r="C107" s="24" t="s">
        <v>207</v>
      </c>
      <c r="D107" s="23">
        <f t="shared" ref="D107:F107" si="30">+D112+D108</f>
        <v>2672785.3699999996</v>
      </c>
      <c r="E107" s="23">
        <f t="shared" si="30"/>
        <v>1619296</v>
      </c>
      <c r="F107" s="23">
        <f t="shared" si="30"/>
        <v>1622188</v>
      </c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4"/>
      <c r="U107" s="4"/>
      <c r="V107" s="5"/>
      <c r="W107" s="4"/>
      <c r="X107" s="4"/>
      <c r="Y107" s="29"/>
      <c r="Z107" s="29"/>
      <c r="AC107" s="28"/>
      <c r="AD107" s="28"/>
      <c r="AE107" s="28"/>
      <c r="AF107" s="28"/>
      <c r="AG107" s="28"/>
      <c r="AH107" s="28"/>
      <c r="AI107" s="29"/>
      <c r="AJ107" s="29"/>
      <c r="AK107" s="29"/>
      <c r="AL107" s="29"/>
      <c r="AM107" s="29"/>
      <c r="AN107" s="29"/>
      <c r="AO107" s="29"/>
      <c r="AP107" s="29"/>
      <c r="AQ107" s="29"/>
      <c r="AR107" s="29"/>
      <c r="AS107" s="29"/>
      <c r="AT107" s="29"/>
      <c r="AU107" s="29"/>
      <c r="AV107" s="29"/>
      <c r="AW107" s="29"/>
      <c r="BM107" s="29"/>
      <c r="BN107" s="29"/>
    </row>
    <row r="108" spans="1:66" s="6" customFormat="1" ht="18" customHeight="1" x14ac:dyDescent="0.25">
      <c r="A108" s="38" t="s">
        <v>208</v>
      </c>
      <c r="B108" s="21" t="s">
        <v>11</v>
      </c>
      <c r="C108" s="24" t="s">
        <v>209</v>
      </c>
      <c r="D108" s="23">
        <f t="shared" ref="D108:F109" si="31">+D109</f>
        <v>48750</v>
      </c>
      <c r="E108" s="23">
        <f t="shared" si="31"/>
        <v>72296</v>
      </c>
      <c r="F108" s="23">
        <f t="shared" si="31"/>
        <v>75188</v>
      </c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5"/>
      <c r="W108" s="4"/>
      <c r="X108" s="4"/>
      <c r="Y108" s="4"/>
      <c r="Z108" s="4"/>
      <c r="AC108" s="7"/>
      <c r="AD108" s="7"/>
      <c r="AE108" s="7"/>
      <c r="AF108" s="7"/>
      <c r="AG108" s="7"/>
      <c r="AH108" s="7"/>
      <c r="AI108" s="4"/>
      <c r="AJ108" s="4"/>
      <c r="AK108" s="4"/>
      <c r="AL108" s="4"/>
      <c r="AM108" s="4"/>
      <c r="AN108" s="4"/>
      <c r="AO108" s="4"/>
      <c r="AP108" s="4"/>
      <c r="AQ108" s="4"/>
      <c r="AR108" s="8"/>
      <c r="AS108" s="8"/>
      <c r="AT108" s="4"/>
      <c r="AU108" s="4"/>
      <c r="AV108" s="4"/>
      <c r="AW108" s="4"/>
      <c r="BM108" s="4"/>
      <c r="BN108" s="4"/>
    </row>
    <row r="109" spans="1:66" s="6" customFormat="1" ht="17.45" customHeight="1" x14ac:dyDescent="0.25">
      <c r="A109" s="38" t="s">
        <v>210</v>
      </c>
      <c r="B109" s="21" t="s">
        <v>11</v>
      </c>
      <c r="C109" s="24" t="s">
        <v>211</v>
      </c>
      <c r="D109" s="23">
        <f t="shared" si="31"/>
        <v>48750</v>
      </c>
      <c r="E109" s="23">
        <f t="shared" si="31"/>
        <v>72296</v>
      </c>
      <c r="F109" s="23">
        <f t="shared" si="31"/>
        <v>75188</v>
      </c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5"/>
      <c r="W109" s="4"/>
      <c r="X109" s="4"/>
      <c r="Y109" s="4"/>
      <c r="Z109" s="4"/>
      <c r="AC109" s="7"/>
      <c r="AD109" s="7"/>
      <c r="AE109" s="7"/>
      <c r="AF109" s="7"/>
      <c r="AG109" s="7"/>
      <c r="AH109" s="7"/>
      <c r="AI109" s="4"/>
      <c r="AJ109" s="4"/>
      <c r="AK109" s="4"/>
      <c r="AL109" s="4"/>
      <c r="AM109" s="4"/>
      <c r="AN109" s="4"/>
      <c r="AO109" s="4"/>
      <c r="AP109" s="4"/>
      <c r="AQ109" s="4"/>
      <c r="AR109" s="8"/>
      <c r="AS109" s="8"/>
      <c r="AT109" s="4"/>
      <c r="AU109" s="4"/>
      <c r="AV109" s="4"/>
      <c r="AW109" s="4"/>
      <c r="BM109" s="4"/>
      <c r="BN109" s="4"/>
    </row>
    <row r="110" spans="1:66" s="6" customFormat="1" ht="31.15" customHeight="1" x14ac:dyDescent="0.25">
      <c r="A110" s="38" t="s">
        <v>212</v>
      </c>
      <c r="B110" s="21" t="s">
        <v>11</v>
      </c>
      <c r="C110" s="44" t="s">
        <v>213</v>
      </c>
      <c r="D110" s="23">
        <f>SUM(D111:D111)</f>
        <v>48750</v>
      </c>
      <c r="E110" s="23">
        <f>SUM(E111:E111)</f>
        <v>72296</v>
      </c>
      <c r="F110" s="23">
        <f>SUM(F111:F111)</f>
        <v>75188</v>
      </c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5"/>
      <c r="W110" s="4"/>
      <c r="X110" s="4"/>
      <c r="Y110" s="4"/>
      <c r="Z110" s="4"/>
      <c r="AC110" s="7"/>
      <c r="AD110" s="7"/>
      <c r="AE110" s="7"/>
      <c r="AF110" s="7"/>
      <c r="AG110" s="7"/>
      <c r="AH110" s="7"/>
      <c r="AI110" s="4"/>
      <c r="AJ110" s="4"/>
      <c r="AK110" s="4"/>
      <c r="AL110" s="4"/>
      <c r="AM110" s="4"/>
      <c r="AN110" s="4"/>
      <c r="AO110" s="4"/>
      <c r="AP110" s="4"/>
      <c r="AQ110" s="4"/>
      <c r="AR110" s="8"/>
      <c r="AS110" s="8"/>
      <c r="AT110" s="4"/>
      <c r="AU110" s="4"/>
      <c r="AV110" s="4"/>
      <c r="AW110" s="4"/>
      <c r="BM110" s="4"/>
      <c r="BN110" s="4"/>
    </row>
    <row r="111" spans="1:66" s="6" customFormat="1" ht="56.45" customHeight="1" x14ac:dyDescent="0.2">
      <c r="A111" s="55" t="s">
        <v>214</v>
      </c>
      <c r="B111" s="21" t="s">
        <v>103</v>
      </c>
      <c r="C111" s="44" t="s">
        <v>215</v>
      </c>
      <c r="D111" s="23">
        <f>69583-20833</f>
        <v>48750</v>
      </c>
      <c r="E111" s="23">
        <v>72296</v>
      </c>
      <c r="F111" s="23">
        <v>75188</v>
      </c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5"/>
      <c r="W111" s="4"/>
      <c r="X111" s="4"/>
      <c r="Y111" s="4"/>
      <c r="Z111" s="4"/>
      <c r="AC111" s="7"/>
      <c r="AD111" s="7"/>
      <c r="AE111" s="7"/>
      <c r="AF111" s="7"/>
      <c r="AG111" s="7"/>
      <c r="AH111" s="7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BM111" s="4"/>
      <c r="BN111" s="4"/>
    </row>
    <row r="112" spans="1:66" s="6" customFormat="1" x14ac:dyDescent="0.25">
      <c r="A112" s="38" t="s">
        <v>216</v>
      </c>
      <c r="B112" s="21" t="s">
        <v>11</v>
      </c>
      <c r="C112" s="24" t="s">
        <v>217</v>
      </c>
      <c r="D112" s="23">
        <f t="shared" ref="D112:F113" si="32">+D113</f>
        <v>2624035.3699999996</v>
      </c>
      <c r="E112" s="23">
        <f t="shared" si="32"/>
        <v>1547000</v>
      </c>
      <c r="F112" s="23">
        <f t="shared" si="32"/>
        <v>1547000</v>
      </c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5"/>
      <c r="W112" s="4"/>
      <c r="X112" s="4"/>
      <c r="Y112" s="4"/>
      <c r="Z112" s="4"/>
      <c r="AC112" s="7"/>
      <c r="AD112" s="7"/>
      <c r="AE112" s="7"/>
      <c r="AF112" s="7"/>
      <c r="AG112" s="7"/>
      <c r="AH112" s="7"/>
      <c r="AI112" s="4"/>
      <c r="AJ112" s="4"/>
      <c r="AK112" s="4"/>
      <c r="AL112" s="4"/>
      <c r="AM112" s="4"/>
      <c r="AN112" s="4"/>
      <c r="AO112" s="4"/>
      <c r="AP112" s="4"/>
      <c r="AQ112" s="4"/>
      <c r="AR112" s="8"/>
      <c r="AS112" s="8"/>
      <c r="AT112" s="4"/>
      <c r="AU112" s="4"/>
      <c r="AV112" s="4"/>
      <c r="AW112" s="4"/>
      <c r="BM112" s="4"/>
      <c r="BN112" s="4"/>
    </row>
    <row r="113" spans="1:66" s="6" customFormat="1" x14ac:dyDescent="0.25">
      <c r="A113" s="38" t="s">
        <v>218</v>
      </c>
      <c r="B113" s="21" t="s">
        <v>11</v>
      </c>
      <c r="C113" s="24" t="s">
        <v>219</v>
      </c>
      <c r="D113" s="23">
        <f t="shared" si="32"/>
        <v>2624035.3699999996</v>
      </c>
      <c r="E113" s="23">
        <f t="shared" si="32"/>
        <v>1547000</v>
      </c>
      <c r="F113" s="23">
        <f t="shared" si="32"/>
        <v>1547000</v>
      </c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5"/>
      <c r="W113" s="4"/>
      <c r="X113" s="4"/>
      <c r="Y113" s="4"/>
      <c r="Z113" s="4"/>
      <c r="AC113" s="7"/>
      <c r="AD113" s="7"/>
      <c r="AE113" s="7"/>
      <c r="AF113" s="7"/>
      <c r="AG113" s="7"/>
      <c r="AH113" s="7"/>
      <c r="AI113" s="4"/>
      <c r="AJ113" s="4"/>
      <c r="AK113" s="4"/>
      <c r="AL113" s="4"/>
      <c r="AM113" s="4"/>
      <c r="AN113" s="4"/>
      <c r="AO113" s="4"/>
      <c r="AP113" s="4"/>
      <c r="AQ113" s="4"/>
      <c r="AR113" s="8"/>
      <c r="AS113" s="8"/>
      <c r="AT113" s="4"/>
      <c r="AU113" s="4"/>
      <c r="AV113" s="4"/>
      <c r="AW113" s="4"/>
      <c r="BM113" s="4"/>
      <c r="BN113" s="4"/>
    </row>
    <row r="114" spans="1:66" s="6" customFormat="1" ht="30.6" customHeight="1" x14ac:dyDescent="0.25">
      <c r="A114" s="38" t="s">
        <v>220</v>
      </c>
      <c r="B114" s="21" t="s">
        <v>11</v>
      </c>
      <c r="C114" s="24" t="s">
        <v>221</v>
      </c>
      <c r="D114" s="23">
        <f>+D120+D121+D115+D117+D118+D116+D119</f>
        <v>2624035.3699999996</v>
      </c>
      <c r="E114" s="23">
        <f t="shared" ref="E114:F114" si="33">+E120+E121+E115+E117+E118</f>
        <v>1547000</v>
      </c>
      <c r="F114" s="23">
        <f t="shared" si="33"/>
        <v>1547000</v>
      </c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5"/>
      <c r="W114" s="4"/>
      <c r="X114" s="4"/>
      <c r="Y114" s="4"/>
      <c r="Z114" s="4"/>
      <c r="AC114" s="7"/>
      <c r="AD114" s="7"/>
      <c r="AE114" s="7"/>
      <c r="AF114" s="7"/>
      <c r="AG114" s="7"/>
      <c r="AH114" s="7"/>
      <c r="AI114" s="4"/>
      <c r="AJ114" s="4"/>
      <c r="AK114" s="4"/>
      <c r="AL114" s="4"/>
      <c r="AM114" s="4"/>
      <c r="AN114" s="4"/>
      <c r="AO114" s="4"/>
      <c r="AP114" s="4"/>
      <c r="AQ114" s="4"/>
      <c r="AR114" s="8"/>
      <c r="AS114" s="8"/>
      <c r="AT114" s="4"/>
      <c r="AU114" s="4"/>
      <c r="AV114" s="4"/>
      <c r="AW114" s="4"/>
      <c r="BM114" s="4"/>
      <c r="BN114" s="4"/>
    </row>
    <row r="115" spans="1:66" s="6" customFormat="1" ht="28.9" customHeight="1" x14ac:dyDescent="0.25">
      <c r="A115" s="38" t="s">
        <v>220</v>
      </c>
      <c r="B115" s="21" t="s">
        <v>222</v>
      </c>
      <c r="C115" s="24" t="s">
        <v>221</v>
      </c>
      <c r="D115" s="23">
        <f>6323.71+4200</f>
        <v>10523.71</v>
      </c>
      <c r="E115" s="23">
        <v>0</v>
      </c>
      <c r="F115" s="23">
        <v>0</v>
      </c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5"/>
      <c r="W115" s="4"/>
      <c r="X115" s="4"/>
      <c r="Y115" s="4"/>
      <c r="Z115" s="4"/>
      <c r="AC115" s="7"/>
      <c r="AD115" s="7"/>
      <c r="AE115" s="7"/>
      <c r="AF115" s="7"/>
      <c r="AG115" s="7"/>
      <c r="AH115" s="7"/>
      <c r="AI115" s="4"/>
      <c r="AJ115" s="4"/>
      <c r="AK115" s="4"/>
      <c r="AL115" s="4"/>
      <c r="AM115" s="4"/>
      <c r="AN115" s="4"/>
      <c r="AO115" s="4"/>
      <c r="AP115" s="4"/>
      <c r="AQ115" s="4"/>
      <c r="AR115" s="8"/>
      <c r="AS115" s="8"/>
      <c r="AT115" s="4"/>
      <c r="AU115" s="4"/>
      <c r="AV115" s="4"/>
      <c r="AW115" s="4"/>
      <c r="BM115" s="4"/>
      <c r="BN115" s="4"/>
    </row>
    <row r="116" spans="1:66" s="6" customFormat="1" ht="30.6" customHeight="1" x14ac:dyDescent="0.25">
      <c r="A116" s="38" t="s">
        <v>220</v>
      </c>
      <c r="B116" s="21" t="s">
        <v>103</v>
      </c>
      <c r="C116" s="24" t="s">
        <v>221</v>
      </c>
      <c r="D116" s="23">
        <v>21259</v>
      </c>
      <c r="E116" s="23">
        <v>0</v>
      </c>
      <c r="F116" s="23">
        <v>0</v>
      </c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5"/>
      <c r="W116" s="4"/>
      <c r="X116" s="4"/>
      <c r="Y116" s="4"/>
      <c r="Z116" s="4"/>
      <c r="AC116" s="7"/>
      <c r="AD116" s="7"/>
      <c r="AE116" s="7"/>
      <c r="AF116" s="7"/>
      <c r="AG116" s="7"/>
      <c r="AH116" s="7"/>
      <c r="AI116" s="4"/>
      <c r="AJ116" s="4"/>
      <c r="AK116" s="4"/>
      <c r="AL116" s="4"/>
      <c r="AM116" s="4"/>
      <c r="AN116" s="4"/>
      <c r="AO116" s="4"/>
      <c r="AP116" s="4"/>
      <c r="AQ116" s="4"/>
      <c r="AR116" s="8"/>
      <c r="AS116" s="8"/>
      <c r="AT116" s="4"/>
      <c r="AU116" s="4"/>
      <c r="AV116" s="4"/>
      <c r="AW116" s="4"/>
      <c r="BM116" s="4"/>
      <c r="BN116" s="4"/>
    </row>
    <row r="117" spans="1:66" s="6" customFormat="1" ht="30.6" customHeight="1" x14ac:dyDescent="0.25">
      <c r="A117" s="38" t="s">
        <v>220</v>
      </c>
      <c r="B117" s="21" t="s">
        <v>223</v>
      </c>
      <c r="C117" s="24" t="s">
        <v>221</v>
      </c>
      <c r="D117" s="23">
        <v>847498.32</v>
      </c>
      <c r="E117" s="23">
        <v>0</v>
      </c>
      <c r="F117" s="23">
        <v>0</v>
      </c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5"/>
      <c r="W117" s="4"/>
      <c r="X117" s="4"/>
      <c r="Y117" s="4"/>
      <c r="Z117" s="4"/>
      <c r="AC117" s="7"/>
      <c r="AD117" s="7"/>
      <c r="AE117" s="7"/>
      <c r="AF117" s="7"/>
      <c r="AG117" s="7"/>
      <c r="AH117" s="7"/>
      <c r="AI117" s="4"/>
      <c r="AJ117" s="4"/>
      <c r="AK117" s="4"/>
      <c r="AL117" s="4"/>
      <c r="AM117" s="4"/>
      <c r="AN117" s="4"/>
      <c r="AO117" s="4"/>
      <c r="AP117" s="4"/>
      <c r="AQ117" s="4"/>
      <c r="AR117" s="8"/>
      <c r="AS117" s="8"/>
      <c r="AT117" s="4"/>
      <c r="AU117" s="4"/>
      <c r="AV117" s="4"/>
      <c r="AW117" s="4"/>
      <c r="BM117" s="4"/>
      <c r="BN117" s="4"/>
    </row>
    <row r="118" spans="1:66" s="6" customFormat="1" ht="30.6" customHeight="1" x14ac:dyDescent="0.25">
      <c r="A118" s="38" t="s">
        <v>220</v>
      </c>
      <c r="B118" s="21" t="s">
        <v>224</v>
      </c>
      <c r="C118" s="24" t="s">
        <v>221</v>
      </c>
      <c r="D118" s="23">
        <v>183.76</v>
      </c>
      <c r="E118" s="23">
        <v>0</v>
      </c>
      <c r="F118" s="23">
        <v>0</v>
      </c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5"/>
      <c r="W118" s="4"/>
      <c r="X118" s="4"/>
      <c r="Y118" s="4"/>
      <c r="Z118" s="4"/>
      <c r="AC118" s="7"/>
      <c r="AD118" s="7"/>
      <c r="AE118" s="7"/>
      <c r="AF118" s="7"/>
      <c r="AG118" s="7"/>
      <c r="AH118" s="7"/>
      <c r="AI118" s="4"/>
      <c r="AJ118" s="4"/>
      <c r="AK118" s="4"/>
      <c r="AL118" s="4"/>
      <c r="AM118" s="4"/>
      <c r="AN118" s="4"/>
      <c r="AO118" s="4"/>
      <c r="AP118" s="4"/>
      <c r="AQ118" s="4"/>
      <c r="AR118" s="8"/>
      <c r="AS118" s="8"/>
      <c r="AT118" s="4"/>
      <c r="AU118" s="4"/>
      <c r="AV118" s="4"/>
      <c r="AW118" s="4"/>
      <c r="BM118" s="4"/>
      <c r="BN118" s="4"/>
    </row>
    <row r="119" spans="1:66" s="6" customFormat="1" ht="30.6" customHeight="1" x14ac:dyDescent="0.25">
      <c r="A119" s="20" t="s">
        <v>220</v>
      </c>
      <c r="B119" s="21" t="s">
        <v>108</v>
      </c>
      <c r="C119" s="24" t="s">
        <v>221</v>
      </c>
      <c r="D119" s="23">
        <v>47570.58</v>
      </c>
      <c r="E119" s="23">
        <v>0</v>
      </c>
      <c r="F119" s="23">
        <v>0</v>
      </c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5"/>
      <c r="W119" s="4"/>
      <c r="X119" s="4"/>
      <c r="Y119" s="4"/>
      <c r="Z119" s="4"/>
      <c r="AC119" s="7"/>
      <c r="AD119" s="7"/>
      <c r="AE119" s="7"/>
      <c r="AF119" s="7"/>
      <c r="AG119" s="7"/>
      <c r="AH119" s="7"/>
      <c r="AI119" s="4"/>
      <c r="AJ119" s="4"/>
      <c r="AK119" s="4"/>
      <c r="AL119" s="4"/>
      <c r="AM119" s="4"/>
      <c r="AN119" s="4"/>
      <c r="AO119" s="4"/>
      <c r="AP119" s="4"/>
      <c r="AQ119" s="4"/>
      <c r="AR119" s="8"/>
      <c r="AS119" s="8"/>
      <c r="AT119" s="4"/>
      <c r="AU119" s="4"/>
      <c r="AV119" s="4"/>
      <c r="AW119" s="4"/>
      <c r="BM119" s="4"/>
      <c r="BN119" s="4"/>
    </row>
    <row r="120" spans="1:66" s="6" customFormat="1" ht="39.6" customHeight="1" x14ac:dyDescent="0.2">
      <c r="A120" s="20" t="s">
        <v>225</v>
      </c>
      <c r="B120" s="21" t="s">
        <v>108</v>
      </c>
      <c r="C120" s="24" t="s">
        <v>226</v>
      </c>
      <c r="D120" s="23">
        <v>787000</v>
      </c>
      <c r="E120" s="23">
        <v>787000</v>
      </c>
      <c r="F120" s="23">
        <v>787000</v>
      </c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5"/>
      <c r="W120" s="4"/>
      <c r="X120" s="4"/>
      <c r="Y120" s="4"/>
      <c r="Z120" s="4"/>
      <c r="AC120" s="7"/>
      <c r="AD120" s="7"/>
      <c r="AE120" s="7"/>
      <c r="AF120" s="7"/>
      <c r="AG120" s="7"/>
      <c r="AH120" s="7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BM120" s="4"/>
      <c r="BN120" s="4"/>
    </row>
    <row r="121" spans="1:66" s="6" customFormat="1" ht="30" customHeight="1" x14ac:dyDescent="0.2">
      <c r="A121" s="55" t="s">
        <v>227</v>
      </c>
      <c r="B121" s="21" t="s">
        <v>108</v>
      </c>
      <c r="C121" s="24" t="s">
        <v>228</v>
      </c>
      <c r="D121" s="23">
        <f>760000+150000</f>
        <v>910000</v>
      </c>
      <c r="E121" s="23">
        <v>760000</v>
      </c>
      <c r="F121" s="23">
        <v>760000</v>
      </c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5"/>
      <c r="W121" s="4"/>
      <c r="X121" s="4"/>
      <c r="Y121" s="4"/>
      <c r="Z121" s="4"/>
      <c r="AC121" s="7"/>
      <c r="AD121" s="7"/>
      <c r="AE121" s="7"/>
      <c r="AF121" s="7"/>
      <c r="AG121" s="7"/>
      <c r="AH121" s="7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BM121" s="4"/>
      <c r="BN121" s="4"/>
    </row>
    <row r="122" spans="1:66" s="30" customFormat="1" ht="25.5" x14ac:dyDescent="0.2">
      <c r="A122" s="38" t="s">
        <v>229</v>
      </c>
      <c r="B122" s="21" t="s">
        <v>11</v>
      </c>
      <c r="C122" s="24" t="s">
        <v>230</v>
      </c>
      <c r="D122" s="23">
        <f>+D123+D126</f>
        <v>19032443</v>
      </c>
      <c r="E122" s="23">
        <f t="shared" ref="E122:F122" si="34">+E123+E126</f>
        <v>4729562</v>
      </c>
      <c r="F122" s="23">
        <f t="shared" si="34"/>
        <v>4918744</v>
      </c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4"/>
      <c r="U122" s="4"/>
      <c r="V122" s="5"/>
      <c r="W122" s="4"/>
      <c r="X122" s="4"/>
      <c r="Y122" s="29"/>
      <c r="Z122" s="29"/>
      <c r="AC122" s="28"/>
      <c r="AD122" s="28"/>
      <c r="AE122" s="28"/>
      <c r="AF122" s="28"/>
      <c r="AG122" s="28"/>
      <c r="AH122" s="28"/>
      <c r="AI122" s="29"/>
      <c r="AJ122" s="29"/>
      <c r="AK122" s="29"/>
      <c r="AL122" s="29"/>
      <c r="AM122" s="29"/>
      <c r="AN122" s="29"/>
      <c r="AO122" s="29"/>
      <c r="AP122" s="29"/>
      <c r="AQ122" s="29"/>
      <c r="AR122" s="29"/>
      <c r="AS122" s="29"/>
      <c r="AT122" s="29"/>
      <c r="AU122" s="29"/>
      <c r="AV122" s="29"/>
      <c r="AW122" s="29"/>
      <c r="BM122" s="29"/>
      <c r="BN122" s="29"/>
    </row>
    <row r="123" spans="1:66" s="6" customFormat="1" ht="67.150000000000006" customHeight="1" x14ac:dyDescent="0.25">
      <c r="A123" s="38" t="s">
        <v>231</v>
      </c>
      <c r="B123" s="56" t="s">
        <v>11</v>
      </c>
      <c r="C123" s="56" t="s">
        <v>232</v>
      </c>
      <c r="D123" s="23">
        <f t="shared" ref="D123:F124" si="35">+D124</f>
        <v>8275933</v>
      </c>
      <c r="E123" s="23">
        <f t="shared" si="35"/>
        <v>0</v>
      </c>
      <c r="F123" s="23">
        <f t="shared" si="35"/>
        <v>0</v>
      </c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5"/>
      <c r="W123" s="4"/>
      <c r="X123" s="4"/>
      <c r="Y123" s="4"/>
      <c r="Z123" s="4"/>
      <c r="AC123" s="7"/>
      <c r="AD123" s="7"/>
      <c r="AE123" s="7"/>
      <c r="AF123" s="7"/>
      <c r="AG123" s="7"/>
      <c r="AH123" s="7"/>
      <c r="AI123" s="4"/>
      <c r="AJ123" s="4"/>
      <c r="AK123" s="4"/>
      <c r="AL123" s="4"/>
      <c r="AM123" s="4"/>
      <c r="AN123" s="4"/>
      <c r="AO123" s="4"/>
      <c r="AP123" s="4"/>
      <c r="AQ123" s="4"/>
      <c r="AR123" s="8"/>
      <c r="AS123" s="8"/>
      <c r="AT123" s="4"/>
      <c r="AU123" s="4"/>
      <c r="AV123" s="4"/>
      <c r="AW123" s="4"/>
      <c r="BM123" s="4"/>
      <c r="BN123" s="4"/>
    </row>
    <row r="124" spans="1:66" s="6" customFormat="1" ht="84" customHeight="1" x14ac:dyDescent="0.25">
      <c r="A124" s="38" t="s">
        <v>233</v>
      </c>
      <c r="B124" s="56" t="s">
        <v>11</v>
      </c>
      <c r="C124" s="56" t="s">
        <v>234</v>
      </c>
      <c r="D124" s="23">
        <f t="shared" si="35"/>
        <v>8275933</v>
      </c>
      <c r="E124" s="23">
        <f t="shared" si="35"/>
        <v>0</v>
      </c>
      <c r="F124" s="23">
        <f t="shared" si="35"/>
        <v>0</v>
      </c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5"/>
      <c r="W124" s="4"/>
      <c r="X124" s="4"/>
      <c r="Y124" s="4"/>
      <c r="Z124" s="4"/>
      <c r="AC124" s="7"/>
      <c r="AD124" s="7"/>
      <c r="AE124" s="7"/>
      <c r="AF124" s="7"/>
      <c r="AG124" s="7"/>
      <c r="AH124" s="7"/>
      <c r="AI124" s="4"/>
      <c r="AJ124" s="4"/>
      <c r="AK124" s="4"/>
      <c r="AL124" s="4"/>
      <c r="AM124" s="4"/>
      <c r="AN124" s="4"/>
      <c r="AO124" s="4"/>
      <c r="AP124" s="4"/>
      <c r="AQ124" s="4"/>
      <c r="AR124" s="8"/>
      <c r="AS124" s="8"/>
      <c r="AT124" s="4"/>
      <c r="AU124" s="4"/>
      <c r="AV124" s="4"/>
      <c r="AW124" s="4"/>
      <c r="BM124" s="4"/>
      <c r="BN124" s="4"/>
    </row>
    <row r="125" spans="1:66" s="6" customFormat="1" ht="82.15" customHeight="1" x14ac:dyDescent="0.25">
      <c r="A125" s="38" t="s">
        <v>235</v>
      </c>
      <c r="B125" s="56" t="s">
        <v>103</v>
      </c>
      <c r="C125" s="56" t="s">
        <v>236</v>
      </c>
      <c r="D125" s="23">
        <f>480000+13000000-13000000+7795933</f>
        <v>8275933</v>
      </c>
      <c r="E125" s="23">
        <v>0</v>
      </c>
      <c r="F125" s="23">
        <v>0</v>
      </c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5"/>
      <c r="W125" s="4"/>
      <c r="X125" s="4"/>
      <c r="Y125" s="4"/>
      <c r="Z125" s="4"/>
      <c r="AC125" s="7"/>
      <c r="AD125" s="7"/>
      <c r="AE125" s="7"/>
      <c r="AF125" s="7"/>
      <c r="AG125" s="7"/>
      <c r="AH125" s="7"/>
      <c r="AI125" s="4"/>
      <c r="AJ125" s="4"/>
      <c r="AK125" s="4"/>
      <c r="AL125" s="4"/>
      <c r="AM125" s="4"/>
      <c r="AN125" s="4"/>
      <c r="AO125" s="4"/>
      <c r="AP125" s="4"/>
      <c r="AQ125" s="4"/>
      <c r="AR125" s="8"/>
      <c r="AS125" s="8"/>
      <c r="AT125" s="4"/>
      <c r="AU125" s="4"/>
      <c r="AV125" s="4"/>
      <c r="AW125" s="4"/>
      <c r="BM125" s="4"/>
      <c r="BN125" s="4"/>
    </row>
    <row r="126" spans="1:66" s="6" customFormat="1" ht="26.45" customHeight="1" x14ac:dyDescent="0.25">
      <c r="A126" s="38" t="s">
        <v>237</v>
      </c>
      <c r="B126" s="56" t="s">
        <v>11</v>
      </c>
      <c r="C126" s="57" t="s">
        <v>238</v>
      </c>
      <c r="D126" s="23">
        <f>+D127+D129</f>
        <v>10756510</v>
      </c>
      <c r="E126" s="23">
        <f>+E127+E129</f>
        <v>4729562</v>
      </c>
      <c r="F126" s="23">
        <f>+F127+F129</f>
        <v>4918744</v>
      </c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5"/>
      <c r="W126" s="4"/>
      <c r="X126" s="4"/>
      <c r="Y126" s="4"/>
      <c r="Z126" s="4"/>
      <c r="AC126" s="7"/>
      <c r="AD126" s="7"/>
      <c r="AE126" s="7"/>
      <c r="AF126" s="7"/>
      <c r="AG126" s="7"/>
      <c r="AH126" s="7"/>
      <c r="AI126" s="4"/>
      <c r="AJ126" s="4"/>
      <c r="AK126" s="4"/>
      <c r="AL126" s="4"/>
      <c r="AM126" s="4"/>
      <c r="AN126" s="4"/>
      <c r="AO126" s="4"/>
      <c r="AP126" s="4"/>
      <c r="AQ126" s="4"/>
      <c r="AR126" s="8"/>
      <c r="AS126" s="8"/>
      <c r="AT126" s="4"/>
      <c r="AU126" s="4"/>
      <c r="AV126" s="4"/>
      <c r="AW126" s="4"/>
      <c r="BM126" s="4"/>
      <c r="BN126" s="4"/>
    </row>
    <row r="127" spans="1:66" s="6" customFormat="1" ht="29.45" customHeight="1" x14ac:dyDescent="0.25">
      <c r="A127" s="38" t="s">
        <v>239</v>
      </c>
      <c r="B127" s="56" t="s">
        <v>11</v>
      </c>
      <c r="C127" s="57" t="s">
        <v>240</v>
      </c>
      <c r="D127" s="23">
        <f>+D128</f>
        <v>9600000</v>
      </c>
      <c r="E127" s="23">
        <f>+E128</f>
        <v>3245890</v>
      </c>
      <c r="F127" s="23">
        <f>+F128</f>
        <v>3375725</v>
      </c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5"/>
      <c r="W127" s="4"/>
      <c r="X127" s="4"/>
      <c r="Y127" s="4"/>
      <c r="Z127" s="4"/>
      <c r="AC127" s="7"/>
      <c r="AD127" s="7"/>
      <c r="AE127" s="7"/>
      <c r="AF127" s="7"/>
      <c r="AG127" s="7"/>
      <c r="AH127" s="7"/>
      <c r="AI127" s="4"/>
      <c r="AJ127" s="4"/>
      <c r="AK127" s="4"/>
      <c r="AL127" s="4"/>
      <c r="AM127" s="4"/>
      <c r="AN127" s="4"/>
      <c r="AO127" s="4"/>
      <c r="AP127" s="4"/>
      <c r="AQ127" s="4"/>
      <c r="AR127" s="8"/>
      <c r="AS127" s="8"/>
      <c r="AT127" s="4"/>
      <c r="AU127" s="4"/>
      <c r="AV127" s="4"/>
      <c r="AW127" s="4"/>
      <c r="BM127" s="4"/>
      <c r="BN127" s="4"/>
    </row>
    <row r="128" spans="1:66" s="6" customFormat="1" ht="44.45" customHeight="1" x14ac:dyDescent="0.25">
      <c r="A128" s="38" t="s">
        <v>241</v>
      </c>
      <c r="B128" s="56" t="s">
        <v>103</v>
      </c>
      <c r="C128" s="57" t="s">
        <v>242</v>
      </c>
      <c r="D128" s="23">
        <f>3124052+6475948</f>
        <v>9600000</v>
      </c>
      <c r="E128" s="23">
        <v>3245890</v>
      </c>
      <c r="F128" s="23">
        <v>3375725</v>
      </c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58"/>
      <c r="W128" s="4"/>
      <c r="X128" s="4"/>
      <c r="Y128" s="4"/>
      <c r="Z128" s="4"/>
      <c r="AC128" s="7"/>
      <c r="AD128" s="7"/>
      <c r="AE128" s="7"/>
      <c r="AF128" s="7"/>
      <c r="AG128" s="7"/>
      <c r="AH128" s="7"/>
      <c r="AI128" s="4"/>
      <c r="AJ128" s="4"/>
      <c r="AK128" s="4"/>
      <c r="AL128" s="4"/>
      <c r="AM128" s="4"/>
      <c r="AN128" s="4"/>
      <c r="AO128" s="4"/>
      <c r="AP128" s="4"/>
      <c r="AQ128" s="4"/>
      <c r="AR128" s="8"/>
      <c r="AS128" s="8"/>
      <c r="AT128" s="4"/>
      <c r="AU128" s="4"/>
      <c r="AV128" s="4"/>
      <c r="AW128" s="4"/>
      <c r="BM128" s="4"/>
      <c r="BN128" s="4"/>
    </row>
    <row r="129" spans="1:66" s="6" customFormat="1" ht="46.15" customHeight="1" x14ac:dyDescent="0.25">
      <c r="A129" s="38" t="s">
        <v>243</v>
      </c>
      <c r="B129" s="56" t="s">
        <v>11</v>
      </c>
      <c r="C129" s="57" t="s">
        <v>244</v>
      </c>
      <c r="D129" s="23">
        <f>+D130</f>
        <v>1156510</v>
      </c>
      <c r="E129" s="23">
        <f>+E130</f>
        <v>1483672</v>
      </c>
      <c r="F129" s="23">
        <f>+F130</f>
        <v>1543019</v>
      </c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5"/>
      <c r="W129" s="4"/>
      <c r="X129" s="4"/>
      <c r="Y129" s="4"/>
      <c r="Z129" s="4"/>
      <c r="AC129" s="7"/>
      <c r="AD129" s="7"/>
      <c r="AE129" s="7"/>
      <c r="AF129" s="7"/>
      <c r="AG129" s="7"/>
      <c r="AH129" s="7"/>
      <c r="AI129" s="4"/>
      <c r="AJ129" s="4"/>
      <c r="AK129" s="4"/>
      <c r="AL129" s="4"/>
      <c r="AM129" s="4"/>
      <c r="AN129" s="4"/>
      <c r="AO129" s="4"/>
      <c r="AP129" s="4"/>
      <c r="AQ129" s="4"/>
      <c r="AR129" s="8"/>
      <c r="AS129" s="8"/>
      <c r="AT129" s="4"/>
      <c r="AU129" s="4"/>
      <c r="AV129" s="4"/>
      <c r="AW129" s="4"/>
      <c r="BM129" s="4"/>
      <c r="BN129" s="4"/>
    </row>
    <row r="130" spans="1:66" s="6" customFormat="1" ht="43.15" customHeight="1" x14ac:dyDescent="0.25">
      <c r="A130" s="38" t="s">
        <v>245</v>
      </c>
      <c r="B130" s="56" t="s">
        <v>103</v>
      </c>
      <c r="C130" s="57" t="s">
        <v>246</v>
      </c>
      <c r="D130" s="23">
        <f>1427980-271470</f>
        <v>1156510</v>
      </c>
      <c r="E130" s="23">
        <v>1483672</v>
      </c>
      <c r="F130" s="23">
        <v>1543019</v>
      </c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5"/>
      <c r="W130" s="4"/>
      <c r="X130" s="4"/>
      <c r="Y130" s="4"/>
      <c r="Z130" s="4"/>
      <c r="AC130" s="7"/>
      <c r="AD130" s="7"/>
      <c r="AE130" s="7"/>
      <c r="AF130" s="7"/>
      <c r="AG130" s="7"/>
      <c r="AH130" s="7"/>
      <c r="AI130" s="4"/>
      <c r="AJ130" s="4"/>
      <c r="AK130" s="4"/>
      <c r="AL130" s="4"/>
      <c r="AM130" s="4"/>
      <c r="AN130" s="4"/>
      <c r="AO130" s="4"/>
      <c r="AP130" s="4"/>
      <c r="AQ130" s="4"/>
      <c r="AR130" s="8"/>
      <c r="AS130" s="8"/>
      <c r="AT130" s="4"/>
      <c r="AU130" s="4"/>
      <c r="AV130" s="4"/>
      <c r="AW130" s="4"/>
      <c r="BM130" s="4"/>
      <c r="BN130" s="4"/>
    </row>
    <row r="131" spans="1:66" s="6" customFormat="1" ht="19.149999999999999" customHeight="1" x14ac:dyDescent="0.25">
      <c r="A131" s="38" t="s">
        <v>247</v>
      </c>
      <c r="B131" s="21" t="s">
        <v>11</v>
      </c>
      <c r="C131" s="24" t="s">
        <v>248</v>
      </c>
      <c r="D131" s="23">
        <f>+D132+D160+D162+D186+D172</f>
        <v>14536019.959999999</v>
      </c>
      <c r="E131" s="23">
        <f>+E132+E160+E162+E186+E172</f>
        <v>10731364</v>
      </c>
      <c r="F131" s="23">
        <f>+F132+F160+F162+F186+F172</f>
        <v>10649034</v>
      </c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5"/>
      <c r="W131" s="4"/>
      <c r="X131" s="4"/>
      <c r="Y131" s="4"/>
      <c r="Z131" s="4"/>
      <c r="AC131" s="7"/>
      <c r="AD131" s="7"/>
      <c r="AE131" s="7"/>
      <c r="AF131" s="7"/>
      <c r="AG131" s="7"/>
      <c r="AH131" s="7"/>
      <c r="AI131" s="4"/>
      <c r="AJ131" s="4"/>
      <c r="AK131" s="4"/>
      <c r="AL131" s="4"/>
      <c r="AM131" s="4"/>
      <c r="AN131" s="4"/>
      <c r="AO131" s="4"/>
      <c r="AP131" s="59"/>
      <c r="AQ131" s="4"/>
      <c r="AR131" s="8"/>
      <c r="AS131" s="8"/>
      <c r="AT131" s="4"/>
      <c r="AU131" s="4"/>
      <c r="AV131" s="4"/>
      <c r="AW131" s="4"/>
      <c r="BM131" s="4"/>
      <c r="BN131" s="4"/>
    </row>
    <row r="132" spans="1:66" s="6" customFormat="1" ht="29.25" customHeight="1" x14ac:dyDescent="0.25">
      <c r="A132" s="38" t="s">
        <v>249</v>
      </c>
      <c r="B132" s="21" t="s">
        <v>11</v>
      </c>
      <c r="C132" s="24" t="s">
        <v>250</v>
      </c>
      <c r="D132" s="23">
        <f>+D133+D136+D139+D150+D154+D157+D142+D148+D152+D146+D144</f>
        <v>4128264</v>
      </c>
      <c r="E132" s="23">
        <f t="shared" ref="E132:F132" si="36">+E133+E136+E139+E150+E154+E157+E142+E148+E152+E146+E144</f>
        <v>4373120</v>
      </c>
      <c r="F132" s="23">
        <f t="shared" si="36"/>
        <v>4373120</v>
      </c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5"/>
      <c r="W132" s="4"/>
      <c r="X132" s="4"/>
      <c r="Y132" s="4"/>
      <c r="Z132" s="4"/>
      <c r="AC132" s="7"/>
      <c r="AD132" s="7"/>
      <c r="AE132" s="7"/>
      <c r="AF132" s="7"/>
      <c r="AG132" s="7"/>
      <c r="AH132" s="7"/>
      <c r="AI132" s="4"/>
      <c r="AJ132" s="4"/>
      <c r="AK132" s="4"/>
      <c r="AL132" s="4"/>
      <c r="AM132" s="4"/>
      <c r="AN132" s="4"/>
      <c r="AO132" s="4"/>
      <c r="AP132" s="4"/>
      <c r="AQ132" s="4"/>
      <c r="AR132" s="8"/>
      <c r="AS132" s="8"/>
      <c r="AT132" s="4"/>
      <c r="AU132" s="4"/>
      <c r="AV132" s="4"/>
      <c r="AW132" s="4"/>
      <c r="BM132" s="4"/>
      <c r="BN132" s="4"/>
    </row>
    <row r="133" spans="1:66" s="6" customFormat="1" ht="51.75" customHeight="1" x14ac:dyDescent="0.2">
      <c r="A133" s="38" t="s">
        <v>251</v>
      </c>
      <c r="B133" s="21" t="s">
        <v>11</v>
      </c>
      <c r="C133" s="44" t="s">
        <v>252</v>
      </c>
      <c r="D133" s="23">
        <f>+D134+D135</f>
        <v>33400</v>
      </c>
      <c r="E133" s="23">
        <f t="shared" ref="E133:F133" si="37">+E134+E135</f>
        <v>24230</v>
      </c>
      <c r="F133" s="23">
        <f t="shared" si="37"/>
        <v>24230</v>
      </c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5"/>
      <c r="W133" s="4"/>
      <c r="X133" s="4"/>
      <c r="Y133" s="4"/>
      <c r="Z133" s="4"/>
      <c r="AC133" s="7"/>
      <c r="AD133" s="7"/>
      <c r="AE133" s="7"/>
      <c r="AF133" s="7"/>
      <c r="AG133" s="7"/>
      <c r="AH133" s="7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BM133" s="4"/>
      <c r="BN133" s="4"/>
    </row>
    <row r="134" spans="1:66" s="6" customFormat="1" ht="70.900000000000006" customHeight="1" x14ac:dyDescent="0.2">
      <c r="A134" s="38" t="s">
        <v>253</v>
      </c>
      <c r="B134" s="21" t="s">
        <v>254</v>
      </c>
      <c r="C134" s="44" t="s">
        <v>255</v>
      </c>
      <c r="D134" s="23">
        <f>13300+8500</f>
        <v>21800</v>
      </c>
      <c r="E134" s="23">
        <v>13300</v>
      </c>
      <c r="F134" s="23">
        <v>13300</v>
      </c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5"/>
      <c r="W134" s="4"/>
      <c r="X134" s="4"/>
      <c r="Y134" s="4"/>
      <c r="Z134" s="4"/>
      <c r="AC134" s="7"/>
      <c r="AD134" s="7"/>
      <c r="AE134" s="7"/>
      <c r="AF134" s="7"/>
      <c r="AG134" s="7"/>
      <c r="AH134" s="7"/>
      <c r="AI134" s="4"/>
      <c r="AJ134" s="4"/>
      <c r="AK134" s="4"/>
      <c r="AL134" s="4"/>
      <c r="AM134" s="60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BM134" s="4"/>
      <c r="BN134" s="4"/>
    </row>
    <row r="135" spans="1:66" s="6" customFormat="1" ht="69" customHeight="1" x14ac:dyDescent="0.2">
      <c r="A135" s="38" t="s">
        <v>253</v>
      </c>
      <c r="B135" s="21" t="s">
        <v>256</v>
      </c>
      <c r="C135" s="44" t="s">
        <v>255</v>
      </c>
      <c r="D135" s="23">
        <f>10930+670</f>
        <v>11600</v>
      </c>
      <c r="E135" s="23">
        <v>10930</v>
      </c>
      <c r="F135" s="23">
        <v>10930</v>
      </c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5"/>
      <c r="W135" s="4"/>
      <c r="X135" s="4"/>
      <c r="Y135" s="4"/>
      <c r="Z135" s="4"/>
      <c r="AC135" s="7"/>
      <c r="AD135" s="7"/>
      <c r="AE135" s="7"/>
      <c r="AF135" s="7"/>
      <c r="AG135" s="7"/>
      <c r="AH135" s="7"/>
      <c r="AI135" s="4"/>
      <c r="AJ135" s="4"/>
      <c r="AK135" s="4"/>
      <c r="AL135" s="4"/>
      <c r="AM135" s="60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BM135" s="4"/>
      <c r="BN135" s="4"/>
    </row>
    <row r="136" spans="1:66" s="6" customFormat="1" ht="67.150000000000006" customHeight="1" x14ac:dyDescent="0.2">
      <c r="A136" s="61" t="s">
        <v>257</v>
      </c>
      <c r="B136" s="21" t="s">
        <v>11</v>
      </c>
      <c r="C136" s="44" t="s">
        <v>258</v>
      </c>
      <c r="D136" s="23">
        <f>+D137+D138</f>
        <v>466910</v>
      </c>
      <c r="E136" s="23">
        <f t="shared" ref="E136:F136" si="38">+E137+E138</f>
        <v>334670</v>
      </c>
      <c r="F136" s="23">
        <f t="shared" si="38"/>
        <v>334670</v>
      </c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5"/>
      <c r="W136" s="4"/>
      <c r="X136" s="4"/>
      <c r="Y136" s="4"/>
      <c r="Z136" s="4"/>
      <c r="AC136" s="7"/>
      <c r="AD136" s="7"/>
      <c r="AE136" s="7"/>
      <c r="AF136" s="7"/>
      <c r="AG136" s="7"/>
      <c r="AH136" s="7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BM136" s="4"/>
      <c r="BN136" s="4"/>
    </row>
    <row r="137" spans="1:66" s="6" customFormat="1" ht="80.45" customHeight="1" x14ac:dyDescent="0.2">
      <c r="A137" s="61" t="s">
        <v>259</v>
      </c>
      <c r="B137" s="21" t="s">
        <v>254</v>
      </c>
      <c r="C137" s="44" t="s">
        <v>260</v>
      </c>
      <c r="D137" s="23">
        <f>15800+6910</f>
        <v>22710</v>
      </c>
      <c r="E137" s="23">
        <v>15800</v>
      </c>
      <c r="F137" s="23">
        <v>15800</v>
      </c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5"/>
      <c r="W137" s="4"/>
      <c r="X137" s="4"/>
      <c r="Y137" s="4"/>
      <c r="Z137" s="4"/>
      <c r="AC137" s="7"/>
      <c r="AD137" s="7"/>
      <c r="AE137" s="7"/>
      <c r="AF137" s="7"/>
      <c r="AG137" s="7"/>
      <c r="AH137" s="7"/>
      <c r="AI137" s="4"/>
      <c r="AJ137" s="4"/>
      <c r="AK137" s="4"/>
      <c r="AL137" s="4"/>
      <c r="AM137" s="60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BM137" s="4"/>
      <c r="BN137" s="4"/>
    </row>
    <row r="138" spans="1:66" s="6" customFormat="1" ht="83.45" customHeight="1" x14ac:dyDescent="0.2">
      <c r="A138" s="38" t="s">
        <v>259</v>
      </c>
      <c r="B138" s="21" t="s">
        <v>256</v>
      </c>
      <c r="C138" s="44" t="s">
        <v>260</v>
      </c>
      <c r="D138" s="23">
        <f>318870+125330</f>
        <v>444200</v>
      </c>
      <c r="E138" s="23">
        <v>318870</v>
      </c>
      <c r="F138" s="23">
        <v>318870</v>
      </c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5"/>
      <c r="W138" s="4"/>
      <c r="X138" s="4"/>
      <c r="Y138" s="4"/>
      <c r="Z138" s="4"/>
      <c r="AC138" s="7"/>
      <c r="AD138" s="7"/>
      <c r="AE138" s="7"/>
      <c r="AF138" s="7"/>
      <c r="AG138" s="7"/>
      <c r="AH138" s="7"/>
      <c r="AI138" s="4"/>
      <c r="AJ138" s="4"/>
      <c r="AK138" s="4"/>
      <c r="AL138" s="4"/>
      <c r="AM138" s="60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BM138" s="4"/>
      <c r="BN138" s="4"/>
    </row>
    <row r="139" spans="1:66" s="6" customFormat="1" ht="55.15" customHeight="1" x14ac:dyDescent="0.2">
      <c r="A139" s="61" t="s">
        <v>261</v>
      </c>
      <c r="B139" s="21" t="s">
        <v>11</v>
      </c>
      <c r="C139" s="44" t="s">
        <v>262</v>
      </c>
      <c r="D139" s="23">
        <f>+D141+D140</f>
        <v>19054</v>
      </c>
      <c r="E139" s="23">
        <f t="shared" ref="E139:F139" si="39">+E141+E140</f>
        <v>19140</v>
      </c>
      <c r="F139" s="23">
        <f t="shared" si="39"/>
        <v>19140</v>
      </c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5"/>
      <c r="W139" s="4"/>
      <c r="X139" s="4"/>
      <c r="Y139" s="4"/>
      <c r="Z139" s="4"/>
      <c r="AC139" s="7"/>
      <c r="AD139" s="7"/>
      <c r="AE139" s="7"/>
      <c r="AF139" s="7"/>
      <c r="AG139" s="7"/>
      <c r="AH139" s="7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BM139" s="4"/>
      <c r="BN139" s="4"/>
    </row>
    <row r="140" spans="1:66" s="6" customFormat="1" ht="64.900000000000006" customHeight="1" x14ac:dyDescent="0.2">
      <c r="A140" s="61" t="s">
        <v>263</v>
      </c>
      <c r="B140" s="21" t="s">
        <v>254</v>
      </c>
      <c r="C140" s="44" t="s">
        <v>264</v>
      </c>
      <c r="D140" s="23">
        <f>3100-1946</f>
        <v>1154</v>
      </c>
      <c r="E140" s="23">
        <v>3100</v>
      </c>
      <c r="F140" s="23">
        <v>3100</v>
      </c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5"/>
      <c r="W140" s="4"/>
      <c r="X140" s="4"/>
      <c r="Y140" s="4"/>
      <c r="Z140" s="4"/>
      <c r="AC140" s="7"/>
      <c r="AD140" s="7"/>
      <c r="AE140" s="7"/>
      <c r="AF140" s="7"/>
      <c r="AG140" s="7"/>
      <c r="AH140" s="7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BM140" s="4"/>
      <c r="BN140" s="4"/>
    </row>
    <row r="141" spans="1:66" s="6" customFormat="1" ht="66.599999999999994" customHeight="1" x14ac:dyDescent="0.2">
      <c r="A141" s="61" t="s">
        <v>263</v>
      </c>
      <c r="B141" s="21" t="s">
        <v>256</v>
      </c>
      <c r="C141" s="44" t="s">
        <v>264</v>
      </c>
      <c r="D141" s="23">
        <f>16040+1860</f>
        <v>17900</v>
      </c>
      <c r="E141" s="23">
        <v>16040</v>
      </c>
      <c r="F141" s="23">
        <v>16040</v>
      </c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5"/>
      <c r="W141" s="4"/>
      <c r="X141" s="4"/>
      <c r="Y141" s="4"/>
      <c r="Z141" s="4"/>
      <c r="AC141" s="7"/>
      <c r="AD141" s="7"/>
      <c r="AE141" s="7"/>
      <c r="AF141" s="7"/>
      <c r="AG141" s="7"/>
      <c r="AH141" s="7"/>
      <c r="AI141" s="4"/>
      <c r="AJ141" s="4"/>
      <c r="AK141" s="4"/>
      <c r="AL141" s="4"/>
      <c r="AM141" s="60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BM141" s="4"/>
      <c r="BN141" s="4"/>
    </row>
    <row r="142" spans="1:66" s="6" customFormat="1" ht="52.15" customHeight="1" x14ac:dyDescent="0.2">
      <c r="A142" s="38" t="s">
        <v>265</v>
      </c>
      <c r="B142" s="21" t="s">
        <v>11</v>
      </c>
      <c r="C142" s="44" t="s">
        <v>266</v>
      </c>
      <c r="D142" s="23">
        <f t="shared" ref="D142:F142" si="40">+D143</f>
        <v>360000</v>
      </c>
      <c r="E142" s="23">
        <f t="shared" si="40"/>
        <v>1988040</v>
      </c>
      <c r="F142" s="23">
        <f t="shared" si="40"/>
        <v>1988040</v>
      </c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5"/>
      <c r="W142" s="4"/>
      <c r="X142" s="4"/>
      <c r="Y142" s="4"/>
      <c r="Z142" s="4"/>
      <c r="AC142" s="7"/>
      <c r="AD142" s="7"/>
      <c r="AE142" s="7"/>
      <c r="AF142" s="7"/>
      <c r="AG142" s="7"/>
      <c r="AH142" s="7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BM142" s="4"/>
      <c r="BN142" s="4"/>
    </row>
    <row r="143" spans="1:66" s="6" customFormat="1" ht="75" customHeight="1" x14ac:dyDescent="0.2">
      <c r="A143" s="38" t="s">
        <v>267</v>
      </c>
      <c r="B143" s="21" t="s">
        <v>256</v>
      </c>
      <c r="C143" s="44" t="s">
        <v>268</v>
      </c>
      <c r="D143" s="23">
        <f>1988040-1628040</f>
        <v>360000</v>
      </c>
      <c r="E143" s="23">
        <v>1988040</v>
      </c>
      <c r="F143" s="23">
        <v>1988040</v>
      </c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5"/>
      <c r="W143" s="4"/>
      <c r="X143" s="4"/>
      <c r="Y143" s="4"/>
      <c r="Z143" s="4"/>
      <c r="AC143" s="7"/>
      <c r="AD143" s="7"/>
      <c r="AE143" s="7"/>
      <c r="AF143" s="7"/>
      <c r="AG143" s="7"/>
      <c r="AH143" s="7"/>
      <c r="AI143" s="4"/>
      <c r="AJ143" s="4"/>
      <c r="AK143" s="4"/>
      <c r="AL143" s="4"/>
      <c r="AM143" s="60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BM143" s="4"/>
      <c r="BN143" s="4"/>
    </row>
    <row r="144" spans="1:66" s="6" customFormat="1" ht="56.45" customHeight="1" x14ac:dyDescent="0.2">
      <c r="A144" s="38" t="s">
        <v>269</v>
      </c>
      <c r="B144" s="21" t="s">
        <v>11</v>
      </c>
      <c r="C144" s="44" t="s">
        <v>270</v>
      </c>
      <c r="D144" s="23">
        <f>+D145</f>
        <v>0</v>
      </c>
      <c r="E144" s="23">
        <f t="shared" ref="E144:F144" si="41">+E145</f>
        <v>9000</v>
      </c>
      <c r="F144" s="23">
        <f t="shared" si="41"/>
        <v>9000</v>
      </c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5"/>
      <c r="W144" s="4"/>
      <c r="X144" s="4"/>
      <c r="Y144" s="4"/>
      <c r="Z144" s="4"/>
      <c r="AC144" s="7"/>
      <c r="AD144" s="7"/>
      <c r="AE144" s="7"/>
      <c r="AF144" s="7"/>
      <c r="AG144" s="7"/>
      <c r="AH144" s="7"/>
      <c r="AI144" s="4"/>
      <c r="AJ144" s="4"/>
      <c r="AK144" s="4"/>
      <c r="AL144" s="4"/>
      <c r="AM144" s="60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BM144" s="4"/>
      <c r="BN144" s="4"/>
    </row>
    <row r="145" spans="1:66" s="6" customFormat="1" ht="71.45" customHeight="1" x14ac:dyDescent="0.2">
      <c r="A145" s="38" t="s">
        <v>271</v>
      </c>
      <c r="B145" s="21" t="s">
        <v>256</v>
      </c>
      <c r="C145" s="44" t="s">
        <v>272</v>
      </c>
      <c r="D145" s="23">
        <f>9000-9000</f>
        <v>0</v>
      </c>
      <c r="E145" s="23">
        <v>9000</v>
      </c>
      <c r="F145" s="23">
        <v>9000</v>
      </c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5"/>
      <c r="W145" s="4"/>
      <c r="X145" s="4"/>
      <c r="Y145" s="4"/>
      <c r="Z145" s="4"/>
      <c r="AC145" s="7"/>
      <c r="AD145" s="7"/>
      <c r="AE145" s="7"/>
      <c r="AF145" s="7"/>
      <c r="AG145" s="7"/>
      <c r="AH145" s="7"/>
      <c r="AI145" s="4"/>
      <c r="AJ145" s="4"/>
      <c r="AK145" s="4"/>
      <c r="AL145" s="4"/>
      <c r="AM145" s="60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BM145" s="4"/>
      <c r="BN145" s="4"/>
    </row>
    <row r="146" spans="1:66" s="6" customFormat="1" ht="48.75" customHeight="1" x14ac:dyDescent="0.2">
      <c r="A146" s="46" t="s">
        <v>273</v>
      </c>
      <c r="B146" s="21" t="s">
        <v>11</v>
      </c>
      <c r="C146" s="47" t="s">
        <v>274</v>
      </c>
      <c r="D146" s="23">
        <f t="shared" ref="D146:F146" si="42">+D147</f>
        <v>0</v>
      </c>
      <c r="E146" s="23">
        <f t="shared" si="42"/>
        <v>45000</v>
      </c>
      <c r="F146" s="23">
        <f t="shared" si="42"/>
        <v>45000</v>
      </c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5"/>
      <c r="W146" s="4"/>
      <c r="X146" s="4"/>
      <c r="Y146" s="4"/>
      <c r="Z146" s="4"/>
      <c r="AC146" s="7"/>
      <c r="AD146" s="7"/>
      <c r="AE146" s="7"/>
      <c r="AF146" s="7"/>
      <c r="AG146" s="7"/>
      <c r="AH146" s="7"/>
      <c r="AI146" s="4"/>
      <c r="AJ146" s="4"/>
      <c r="AK146" s="4"/>
      <c r="AL146" s="4"/>
      <c r="AM146" s="60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BM146" s="4"/>
      <c r="BN146" s="4"/>
    </row>
    <row r="147" spans="1:66" s="6" customFormat="1" ht="63.75" x14ac:dyDescent="0.2">
      <c r="A147" s="46" t="s">
        <v>275</v>
      </c>
      <c r="B147" s="21" t="s">
        <v>256</v>
      </c>
      <c r="C147" s="47" t="s">
        <v>276</v>
      </c>
      <c r="D147" s="23">
        <f>45000-45000</f>
        <v>0</v>
      </c>
      <c r="E147" s="23">
        <v>45000</v>
      </c>
      <c r="F147" s="23">
        <v>45000</v>
      </c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5"/>
      <c r="W147" s="4"/>
      <c r="X147" s="4"/>
      <c r="Y147" s="4"/>
      <c r="Z147" s="4"/>
      <c r="AC147" s="7"/>
      <c r="AD147" s="7"/>
      <c r="AE147" s="7"/>
      <c r="AF147" s="7"/>
      <c r="AG147" s="7"/>
      <c r="AH147" s="7"/>
      <c r="AI147" s="4"/>
      <c r="AJ147" s="4"/>
      <c r="AK147" s="4"/>
      <c r="AL147" s="4"/>
      <c r="AM147" s="60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BM147" s="4"/>
      <c r="BN147" s="4"/>
    </row>
    <row r="148" spans="1:66" s="6" customFormat="1" ht="73.150000000000006" customHeight="1" x14ac:dyDescent="0.2">
      <c r="A148" s="38" t="s">
        <v>277</v>
      </c>
      <c r="B148" s="21" t="s">
        <v>11</v>
      </c>
      <c r="C148" s="44" t="s">
        <v>278</v>
      </c>
      <c r="D148" s="23">
        <f t="shared" ref="D148:F148" si="43">+D149</f>
        <v>746500</v>
      </c>
      <c r="E148" s="23">
        <f t="shared" si="43"/>
        <v>502420</v>
      </c>
      <c r="F148" s="23">
        <f t="shared" si="43"/>
        <v>502420</v>
      </c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5"/>
      <c r="W148" s="4"/>
      <c r="X148" s="4"/>
      <c r="Y148" s="4"/>
      <c r="Z148" s="4"/>
      <c r="AC148" s="7"/>
      <c r="AD148" s="7"/>
      <c r="AE148" s="7"/>
      <c r="AF148" s="7"/>
      <c r="AG148" s="7"/>
      <c r="AH148" s="7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BM148" s="4"/>
      <c r="BN148" s="4"/>
    </row>
    <row r="149" spans="1:66" s="6" customFormat="1" ht="79.900000000000006" customHeight="1" x14ac:dyDescent="0.2">
      <c r="A149" s="61" t="s">
        <v>279</v>
      </c>
      <c r="B149" s="21" t="s">
        <v>256</v>
      </c>
      <c r="C149" s="44" t="s">
        <v>280</v>
      </c>
      <c r="D149" s="23">
        <f>502420+244080</f>
        <v>746500</v>
      </c>
      <c r="E149" s="23">
        <v>502420</v>
      </c>
      <c r="F149" s="23">
        <v>502420</v>
      </c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5"/>
      <c r="W149" s="4"/>
      <c r="X149" s="4"/>
      <c r="Y149" s="4"/>
      <c r="Z149" s="4"/>
      <c r="AC149" s="7"/>
      <c r="AD149" s="7"/>
      <c r="AE149" s="7"/>
      <c r="AF149" s="7"/>
      <c r="AG149" s="7"/>
      <c r="AH149" s="7"/>
      <c r="AI149" s="4"/>
      <c r="AJ149" s="4"/>
      <c r="AK149" s="4"/>
      <c r="AL149" s="4"/>
      <c r="AM149" s="60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BM149" s="4"/>
      <c r="BN149" s="4"/>
    </row>
    <row r="150" spans="1:66" s="6" customFormat="1" ht="54" customHeight="1" x14ac:dyDescent="0.2">
      <c r="A150" s="61" t="s">
        <v>281</v>
      </c>
      <c r="B150" s="21" t="s">
        <v>11</v>
      </c>
      <c r="C150" s="44" t="s">
        <v>282</v>
      </c>
      <c r="D150" s="23">
        <f t="shared" ref="D150:F150" si="44">+D151</f>
        <v>41500</v>
      </c>
      <c r="E150" s="23">
        <f t="shared" si="44"/>
        <v>109360</v>
      </c>
      <c r="F150" s="23">
        <f t="shared" si="44"/>
        <v>109360</v>
      </c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5"/>
      <c r="W150" s="4"/>
      <c r="X150" s="4"/>
      <c r="Y150" s="4"/>
      <c r="Z150" s="4"/>
      <c r="AC150" s="7"/>
      <c r="AD150" s="7"/>
      <c r="AE150" s="7"/>
      <c r="AF150" s="7"/>
      <c r="AG150" s="7"/>
      <c r="AH150" s="7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BM150" s="4"/>
      <c r="BN150" s="4"/>
    </row>
    <row r="151" spans="1:66" s="6" customFormat="1" ht="91.15" customHeight="1" x14ac:dyDescent="0.2">
      <c r="A151" s="61" t="s">
        <v>283</v>
      </c>
      <c r="B151" s="21" t="s">
        <v>256</v>
      </c>
      <c r="C151" s="44" t="s">
        <v>284</v>
      </c>
      <c r="D151" s="23">
        <f>109360-67860</f>
        <v>41500</v>
      </c>
      <c r="E151" s="23">
        <v>109360</v>
      </c>
      <c r="F151" s="23">
        <v>109360</v>
      </c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5"/>
      <c r="W151" s="4"/>
      <c r="X151" s="4"/>
      <c r="Y151" s="4"/>
      <c r="Z151" s="4"/>
      <c r="AC151" s="7"/>
      <c r="AD151" s="7"/>
      <c r="AE151" s="7"/>
      <c r="AF151" s="7"/>
      <c r="AG151" s="7"/>
      <c r="AH151" s="7"/>
      <c r="AI151" s="4"/>
      <c r="AJ151" s="4"/>
      <c r="AK151" s="4"/>
      <c r="AL151" s="4"/>
      <c r="AM151" s="60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BM151" s="4"/>
      <c r="BN151" s="4"/>
    </row>
    <row r="152" spans="1:66" s="6" customFormat="1" ht="54" customHeight="1" x14ac:dyDescent="0.2">
      <c r="A152" s="61" t="s">
        <v>285</v>
      </c>
      <c r="B152" s="21" t="s">
        <v>11</v>
      </c>
      <c r="C152" s="44" t="s">
        <v>286</v>
      </c>
      <c r="D152" s="23">
        <f t="shared" ref="D152:F152" si="45">+D153</f>
        <v>9900</v>
      </c>
      <c r="E152" s="23">
        <f t="shared" si="45"/>
        <v>9340</v>
      </c>
      <c r="F152" s="23">
        <f t="shared" si="45"/>
        <v>9340</v>
      </c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5"/>
      <c r="W152" s="4"/>
      <c r="X152" s="4"/>
      <c r="Y152" s="4"/>
      <c r="Z152" s="4"/>
      <c r="AC152" s="7"/>
      <c r="AD152" s="7"/>
      <c r="AE152" s="7"/>
      <c r="AF152" s="7"/>
      <c r="AG152" s="7"/>
      <c r="AH152" s="7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BM152" s="4"/>
      <c r="BN152" s="4"/>
    </row>
    <row r="153" spans="1:66" s="6" customFormat="1" ht="71.45" customHeight="1" x14ac:dyDescent="0.2">
      <c r="A153" s="38" t="s">
        <v>287</v>
      </c>
      <c r="B153" s="21" t="s">
        <v>256</v>
      </c>
      <c r="C153" s="44" t="s">
        <v>288</v>
      </c>
      <c r="D153" s="23">
        <f>9340+560</f>
        <v>9900</v>
      </c>
      <c r="E153" s="23">
        <v>9340</v>
      </c>
      <c r="F153" s="23">
        <v>9340</v>
      </c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5"/>
      <c r="W153" s="4"/>
      <c r="X153" s="4"/>
      <c r="Y153" s="4"/>
      <c r="Z153" s="4"/>
      <c r="AC153" s="7"/>
      <c r="AD153" s="7"/>
      <c r="AE153" s="7"/>
      <c r="AF153" s="7"/>
      <c r="AG153" s="7"/>
      <c r="AH153" s="7"/>
      <c r="AI153" s="4"/>
      <c r="AJ153" s="4"/>
      <c r="AK153" s="4"/>
      <c r="AL153" s="4"/>
      <c r="AM153" s="60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BM153" s="4"/>
      <c r="BN153" s="4"/>
    </row>
    <row r="154" spans="1:66" s="6" customFormat="1" ht="48.75" customHeight="1" x14ac:dyDescent="0.2">
      <c r="A154" s="38" t="s">
        <v>289</v>
      </c>
      <c r="B154" s="21" t="s">
        <v>11</v>
      </c>
      <c r="C154" s="44" t="s">
        <v>290</v>
      </c>
      <c r="D154" s="23">
        <f t="shared" ref="D154:F154" si="46">+D155+D156</f>
        <v>841300</v>
      </c>
      <c r="E154" s="23">
        <f t="shared" si="46"/>
        <v>326480</v>
      </c>
      <c r="F154" s="23">
        <f t="shared" si="46"/>
        <v>326480</v>
      </c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5"/>
      <c r="W154" s="4"/>
      <c r="X154" s="4"/>
      <c r="Y154" s="4"/>
      <c r="Z154" s="4"/>
      <c r="AC154" s="7"/>
      <c r="AD154" s="7"/>
      <c r="AE154" s="7"/>
      <c r="AF154" s="7"/>
      <c r="AG154" s="7"/>
      <c r="AH154" s="7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BM154" s="4"/>
      <c r="BN154" s="4"/>
    </row>
    <row r="155" spans="1:66" s="6" customFormat="1" ht="65.45" customHeight="1" x14ac:dyDescent="0.2">
      <c r="A155" s="61" t="s">
        <v>291</v>
      </c>
      <c r="B155" s="21" t="s">
        <v>254</v>
      </c>
      <c r="C155" s="44" t="s">
        <v>292</v>
      </c>
      <c r="D155" s="23">
        <f>4200-200</f>
        <v>4000</v>
      </c>
      <c r="E155" s="23">
        <v>4200</v>
      </c>
      <c r="F155" s="23">
        <v>4200</v>
      </c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5"/>
      <c r="W155" s="4"/>
      <c r="X155" s="4"/>
      <c r="Y155" s="4"/>
      <c r="Z155" s="4"/>
      <c r="AC155" s="7"/>
      <c r="AD155" s="7"/>
      <c r="AE155" s="7"/>
      <c r="AF155" s="7"/>
      <c r="AG155" s="7"/>
      <c r="AH155" s="7"/>
      <c r="AI155" s="4"/>
      <c r="AJ155" s="4"/>
      <c r="AK155" s="4"/>
      <c r="AL155" s="4"/>
      <c r="AM155" s="60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BM155" s="4"/>
      <c r="BN155" s="4"/>
    </row>
    <row r="156" spans="1:66" s="6" customFormat="1" ht="66" customHeight="1" x14ac:dyDescent="0.2">
      <c r="A156" s="61" t="s">
        <v>291</v>
      </c>
      <c r="B156" s="21" t="s">
        <v>256</v>
      </c>
      <c r="C156" s="44" t="s">
        <v>292</v>
      </c>
      <c r="D156" s="23">
        <f>322280+515020</f>
        <v>837300</v>
      </c>
      <c r="E156" s="23">
        <v>322280</v>
      </c>
      <c r="F156" s="23">
        <v>322280</v>
      </c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5"/>
      <c r="W156" s="4"/>
      <c r="X156" s="4"/>
      <c r="Y156" s="4"/>
      <c r="Z156" s="4"/>
      <c r="AC156" s="7"/>
      <c r="AD156" s="7"/>
      <c r="AE156" s="7"/>
      <c r="AF156" s="7"/>
      <c r="AG156" s="7"/>
      <c r="AH156" s="7"/>
      <c r="AI156" s="4"/>
      <c r="AJ156" s="4"/>
      <c r="AK156" s="4"/>
      <c r="AL156" s="4"/>
      <c r="AM156" s="60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BM156" s="4"/>
      <c r="BN156" s="4"/>
    </row>
    <row r="157" spans="1:66" s="6" customFormat="1" ht="54" customHeight="1" x14ac:dyDescent="0.2">
      <c r="A157" s="61" t="s">
        <v>293</v>
      </c>
      <c r="B157" s="21" t="s">
        <v>11</v>
      </c>
      <c r="C157" s="44" t="s">
        <v>294</v>
      </c>
      <c r="D157" s="23">
        <f t="shared" ref="D157:F157" si="47">+D158+D159</f>
        <v>1609700</v>
      </c>
      <c r="E157" s="23">
        <f t="shared" si="47"/>
        <v>1005440</v>
      </c>
      <c r="F157" s="23">
        <f t="shared" si="47"/>
        <v>1005440</v>
      </c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5"/>
      <c r="W157" s="4"/>
      <c r="X157" s="4"/>
      <c r="Y157" s="4"/>
      <c r="Z157" s="4"/>
      <c r="AC157" s="7"/>
      <c r="AD157" s="7"/>
      <c r="AE157" s="7"/>
      <c r="AF157" s="7"/>
      <c r="AG157" s="7"/>
      <c r="AH157" s="7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BM157" s="4"/>
      <c r="BN157" s="4"/>
    </row>
    <row r="158" spans="1:66" s="6" customFormat="1" ht="76.5" x14ac:dyDescent="0.2">
      <c r="A158" s="61" t="s">
        <v>295</v>
      </c>
      <c r="B158" s="21" t="s">
        <v>254</v>
      </c>
      <c r="C158" s="44" t="s">
        <v>296</v>
      </c>
      <c r="D158" s="23">
        <f>67200-31800</f>
        <v>35400</v>
      </c>
      <c r="E158" s="23">
        <v>67200</v>
      </c>
      <c r="F158" s="23">
        <v>67200</v>
      </c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5"/>
      <c r="W158" s="4"/>
      <c r="X158" s="4"/>
      <c r="Y158" s="4"/>
      <c r="Z158" s="4"/>
      <c r="AC158" s="7"/>
      <c r="AD158" s="7"/>
      <c r="AE158" s="7"/>
      <c r="AF158" s="7"/>
      <c r="AG158" s="7"/>
      <c r="AH158" s="7"/>
      <c r="AI158" s="4"/>
      <c r="AJ158" s="4"/>
      <c r="AK158" s="4"/>
      <c r="AL158" s="4"/>
      <c r="AM158" s="60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BM158" s="4"/>
      <c r="BN158" s="4"/>
    </row>
    <row r="159" spans="1:66" s="6" customFormat="1" ht="76.5" x14ac:dyDescent="0.2">
      <c r="A159" s="38" t="s">
        <v>295</v>
      </c>
      <c r="B159" s="21" t="s">
        <v>256</v>
      </c>
      <c r="C159" s="44" t="s">
        <v>296</v>
      </c>
      <c r="D159" s="23">
        <f>938240+674060-38000</f>
        <v>1574300</v>
      </c>
      <c r="E159" s="23">
        <v>938240</v>
      </c>
      <c r="F159" s="23">
        <v>938240</v>
      </c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5"/>
      <c r="W159" s="4"/>
      <c r="X159" s="4"/>
      <c r="Y159" s="4"/>
      <c r="Z159" s="4"/>
      <c r="AC159" s="7"/>
      <c r="AD159" s="7"/>
      <c r="AE159" s="7"/>
      <c r="AF159" s="7"/>
      <c r="AG159" s="7"/>
      <c r="AH159" s="7"/>
      <c r="AI159" s="4"/>
      <c r="AJ159" s="4"/>
      <c r="AK159" s="4"/>
      <c r="AL159" s="4"/>
      <c r="AM159" s="60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BM159" s="4"/>
      <c r="BN159" s="4"/>
    </row>
    <row r="160" spans="1:66" s="6" customFormat="1" ht="30" customHeight="1" x14ac:dyDescent="0.2">
      <c r="A160" s="38" t="s">
        <v>297</v>
      </c>
      <c r="B160" s="62" t="s">
        <v>11</v>
      </c>
      <c r="C160" s="63" t="s">
        <v>298</v>
      </c>
      <c r="D160" s="23">
        <f>+D161</f>
        <v>270000</v>
      </c>
      <c r="E160" s="23">
        <f>+E161</f>
        <v>105000</v>
      </c>
      <c r="F160" s="23">
        <f>+F161</f>
        <v>105000</v>
      </c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5"/>
      <c r="W160" s="4"/>
      <c r="X160" s="4"/>
      <c r="Y160" s="4"/>
      <c r="Z160" s="4"/>
      <c r="AC160" s="7"/>
      <c r="AD160" s="7"/>
      <c r="AE160" s="7"/>
      <c r="AF160" s="7"/>
      <c r="AG160" s="7"/>
      <c r="AH160" s="7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BM160" s="4"/>
      <c r="BN160" s="4"/>
    </row>
    <row r="161" spans="1:66" s="6" customFormat="1" ht="63.75" x14ac:dyDescent="0.2">
      <c r="A161" s="38" t="s">
        <v>299</v>
      </c>
      <c r="B161" s="62" t="s">
        <v>223</v>
      </c>
      <c r="C161" s="63" t="s">
        <v>300</v>
      </c>
      <c r="D161" s="23">
        <f>105000+127000+38000</f>
        <v>270000</v>
      </c>
      <c r="E161" s="23">
        <v>105000</v>
      </c>
      <c r="F161" s="23">
        <v>105000</v>
      </c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5"/>
      <c r="W161" s="4"/>
      <c r="X161" s="4"/>
      <c r="Y161" s="4"/>
      <c r="Z161" s="4"/>
      <c r="AC161" s="7"/>
      <c r="AD161" s="7"/>
      <c r="AE161" s="7"/>
      <c r="AF161" s="7"/>
      <c r="AG161" s="7"/>
      <c r="AH161" s="7"/>
      <c r="AI161" s="4"/>
      <c r="AJ161" s="4"/>
      <c r="AK161" s="4"/>
      <c r="AL161" s="4"/>
      <c r="AM161" s="45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BM161" s="4"/>
      <c r="BN161" s="4"/>
    </row>
    <row r="162" spans="1:66" s="6" customFormat="1" ht="102" customHeight="1" x14ac:dyDescent="0.2">
      <c r="A162" s="38" t="s">
        <v>301</v>
      </c>
      <c r="B162" s="21" t="s">
        <v>11</v>
      </c>
      <c r="C162" s="43" t="s">
        <v>302</v>
      </c>
      <c r="D162" s="23">
        <f>+D167+D163</f>
        <v>9353683.2899999991</v>
      </c>
      <c r="E162" s="23">
        <f>+E167+E163</f>
        <v>5452244</v>
      </c>
      <c r="F162" s="23">
        <f>+F167+F163</f>
        <v>5669914</v>
      </c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5"/>
      <c r="W162" s="4"/>
      <c r="X162" s="4"/>
      <c r="Y162" s="4"/>
      <c r="Z162" s="4"/>
      <c r="AC162" s="7"/>
      <c r="AD162" s="7"/>
      <c r="AE162" s="7"/>
      <c r="AF162" s="7"/>
      <c r="AG162" s="7"/>
      <c r="AH162" s="7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BM162" s="4"/>
      <c r="BN162" s="4"/>
    </row>
    <row r="163" spans="1:66" s="6" customFormat="1" ht="54.6" customHeight="1" x14ac:dyDescent="0.2">
      <c r="A163" s="38" t="s">
        <v>303</v>
      </c>
      <c r="B163" s="21" t="s">
        <v>11</v>
      </c>
      <c r="C163" s="43" t="s">
        <v>304</v>
      </c>
      <c r="D163" s="23">
        <f>+D166+D164+D165</f>
        <v>8993.2899999999991</v>
      </c>
      <c r="E163" s="23">
        <f t="shared" ref="E163:F163" si="48">+E166+E164+E165</f>
        <v>500</v>
      </c>
      <c r="F163" s="23">
        <f t="shared" si="48"/>
        <v>500</v>
      </c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5"/>
      <c r="W163" s="4"/>
      <c r="X163" s="4"/>
      <c r="Y163" s="4"/>
      <c r="Z163" s="4"/>
      <c r="AC163" s="7"/>
      <c r="AD163" s="7"/>
      <c r="AE163" s="7"/>
      <c r="AF163" s="7"/>
      <c r="AG163" s="7"/>
      <c r="AH163" s="7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BM163" s="4"/>
      <c r="BN163" s="4"/>
    </row>
    <row r="164" spans="1:66" s="6" customFormat="1" ht="68.45" customHeight="1" x14ac:dyDescent="0.2">
      <c r="A164" s="61" t="s">
        <v>305</v>
      </c>
      <c r="B164" s="21" t="s">
        <v>222</v>
      </c>
      <c r="C164" s="44" t="s">
        <v>306</v>
      </c>
      <c r="D164" s="23">
        <v>3726.81</v>
      </c>
      <c r="E164" s="23">
        <v>0</v>
      </c>
      <c r="F164" s="23">
        <v>0</v>
      </c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5"/>
      <c r="W164" s="4"/>
      <c r="X164" s="4"/>
      <c r="Y164" s="4"/>
      <c r="Z164" s="4"/>
      <c r="AC164" s="7"/>
      <c r="AD164" s="7"/>
      <c r="AE164" s="7"/>
      <c r="AF164" s="7"/>
      <c r="AG164" s="7"/>
      <c r="AH164" s="7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BM164" s="4"/>
      <c r="BN164" s="4"/>
    </row>
    <row r="165" spans="1:66" s="6" customFormat="1" ht="68.45" customHeight="1" x14ac:dyDescent="0.2">
      <c r="A165" s="61" t="s">
        <v>305</v>
      </c>
      <c r="B165" s="21" t="s">
        <v>223</v>
      </c>
      <c r="C165" s="44" t="s">
        <v>306</v>
      </c>
      <c r="D165" s="23">
        <v>766.48</v>
      </c>
      <c r="E165" s="23">
        <v>0</v>
      </c>
      <c r="F165" s="23">
        <v>0</v>
      </c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5"/>
      <c r="W165" s="4"/>
      <c r="X165" s="4"/>
      <c r="Y165" s="4"/>
      <c r="Z165" s="4"/>
      <c r="AC165" s="7"/>
      <c r="AD165" s="7"/>
      <c r="AE165" s="7"/>
      <c r="AF165" s="7"/>
      <c r="AG165" s="7"/>
      <c r="AH165" s="7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BM165" s="4"/>
      <c r="BN165" s="4"/>
    </row>
    <row r="166" spans="1:66" s="6" customFormat="1" ht="66.75" customHeight="1" x14ac:dyDescent="0.2">
      <c r="A166" s="61" t="s">
        <v>305</v>
      </c>
      <c r="B166" s="21" t="s">
        <v>108</v>
      </c>
      <c r="C166" s="44" t="s">
        <v>306</v>
      </c>
      <c r="D166" s="23">
        <f>500+3000+1000</f>
        <v>4500</v>
      </c>
      <c r="E166" s="23">
        <v>500</v>
      </c>
      <c r="F166" s="23">
        <v>500</v>
      </c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5"/>
      <c r="W166" s="4"/>
      <c r="X166" s="4"/>
      <c r="Y166" s="4"/>
      <c r="Z166" s="4"/>
      <c r="AC166" s="7"/>
      <c r="AD166" s="7"/>
      <c r="AE166" s="7"/>
      <c r="AF166" s="7"/>
      <c r="AG166" s="7"/>
      <c r="AH166" s="7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BM166" s="4"/>
      <c r="BN166" s="4"/>
    </row>
    <row r="167" spans="1:66" s="6" customFormat="1" ht="77.25" customHeight="1" x14ac:dyDescent="0.2">
      <c r="A167" s="38" t="s">
        <v>307</v>
      </c>
      <c r="B167" s="21" t="s">
        <v>11</v>
      </c>
      <c r="C167" s="24" t="s">
        <v>308</v>
      </c>
      <c r="D167" s="23">
        <f>+D168+D169+D171+D170</f>
        <v>9344690</v>
      </c>
      <c r="E167" s="23">
        <f t="shared" ref="E167:F167" si="49">+E168+E169+E171</f>
        <v>5451744</v>
      </c>
      <c r="F167" s="23">
        <f t="shared" si="49"/>
        <v>5669414</v>
      </c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5"/>
      <c r="W167" s="4"/>
      <c r="X167" s="4"/>
      <c r="Y167" s="4"/>
      <c r="Z167" s="4"/>
      <c r="AC167" s="7"/>
      <c r="AD167" s="7"/>
      <c r="AE167" s="7"/>
      <c r="AF167" s="7"/>
      <c r="AG167" s="7"/>
      <c r="AH167" s="7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BM167" s="4"/>
      <c r="BN167" s="4"/>
    </row>
    <row r="168" spans="1:66" s="6" customFormat="1" ht="63.75" customHeight="1" x14ac:dyDescent="0.2">
      <c r="A168" s="61" t="s">
        <v>309</v>
      </c>
      <c r="B168" s="21" t="s">
        <v>103</v>
      </c>
      <c r="C168" s="24" t="s">
        <v>310</v>
      </c>
      <c r="D168" s="23">
        <f>369668+502202</f>
        <v>871870</v>
      </c>
      <c r="E168" s="23">
        <v>384085</v>
      </c>
      <c r="F168" s="23">
        <v>399448</v>
      </c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5"/>
      <c r="W168" s="4"/>
      <c r="X168" s="4"/>
      <c r="Y168" s="4"/>
      <c r="Z168" s="4"/>
      <c r="AC168" s="7"/>
      <c r="AD168" s="7"/>
      <c r="AE168" s="7"/>
      <c r="AF168" s="7"/>
      <c r="AG168" s="7"/>
      <c r="AH168" s="7"/>
      <c r="AI168" s="4"/>
      <c r="AJ168" s="4"/>
      <c r="AK168" s="4"/>
      <c r="AL168" s="4"/>
      <c r="AM168" s="6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BM168" s="4"/>
      <c r="BN168" s="4"/>
    </row>
    <row r="169" spans="1:66" s="6" customFormat="1" ht="69.599999999999994" customHeight="1" x14ac:dyDescent="0.2">
      <c r="A169" s="61" t="s">
        <v>311</v>
      </c>
      <c r="B169" s="21" t="s">
        <v>103</v>
      </c>
      <c r="C169" s="24" t="s">
        <v>312</v>
      </c>
      <c r="D169" s="23">
        <f>4867814+3578006</f>
        <v>8445820</v>
      </c>
      <c r="E169" s="23">
        <v>5057659</v>
      </c>
      <c r="F169" s="23">
        <v>5259966</v>
      </c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5"/>
      <c r="W169" s="4"/>
      <c r="X169" s="4"/>
      <c r="Y169" s="4"/>
      <c r="Z169" s="4"/>
      <c r="AC169" s="7"/>
      <c r="AD169" s="7"/>
      <c r="AE169" s="7"/>
      <c r="AF169" s="7"/>
      <c r="AG169" s="7"/>
      <c r="AH169" s="7"/>
      <c r="AI169" s="4"/>
      <c r="AJ169" s="4"/>
      <c r="AK169" s="4"/>
      <c r="AL169" s="4"/>
      <c r="AM169" s="6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BM169" s="4"/>
      <c r="BN169" s="4"/>
    </row>
    <row r="170" spans="1:66" s="6" customFormat="1" ht="61.9" customHeight="1" x14ac:dyDescent="0.2">
      <c r="A170" s="38" t="s">
        <v>313</v>
      </c>
      <c r="B170" s="21" t="s">
        <v>223</v>
      </c>
      <c r="C170" s="24" t="s">
        <v>314</v>
      </c>
      <c r="D170" s="23">
        <v>1000</v>
      </c>
      <c r="E170" s="23">
        <v>0</v>
      </c>
      <c r="F170" s="23">
        <v>0</v>
      </c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5"/>
      <c r="W170" s="4"/>
      <c r="X170" s="4"/>
      <c r="Y170" s="4"/>
      <c r="Z170" s="4"/>
      <c r="AC170" s="7"/>
      <c r="AD170" s="7"/>
      <c r="AE170" s="7"/>
      <c r="AF170" s="7"/>
      <c r="AG170" s="7"/>
      <c r="AH170" s="7"/>
      <c r="AI170" s="4"/>
      <c r="AJ170" s="4"/>
      <c r="AK170" s="4"/>
      <c r="AL170" s="4"/>
      <c r="AM170" s="6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BM170" s="4"/>
      <c r="BN170" s="4"/>
    </row>
    <row r="171" spans="1:66" s="6" customFormat="1" ht="64.5" customHeight="1" x14ac:dyDescent="0.2">
      <c r="A171" s="38" t="s">
        <v>313</v>
      </c>
      <c r="B171" s="21" t="s">
        <v>108</v>
      </c>
      <c r="C171" s="24" t="s">
        <v>314</v>
      </c>
      <c r="D171" s="23">
        <f>10000+16000</f>
        <v>26000</v>
      </c>
      <c r="E171" s="23">
        <v>10000</v>
      </c>
      <c r="F171" s="23">
        <v>10000</v>
      </c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5"/>
      <c r="W171" s="4"/>
      <c r="X171" s="4"/>
      <c r="Y171" s="4"/>
      <c r="Z171" s="4"/>
      <c r="AC171" s="7"/>
      <c r="AD171" s="7"/>
      <c r="AE171" s="7"/>
      <c r="AF171" s="7"/>
      <c r="AG171" s="7"/>
      <c r="AH171" s="7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BM171" s="4"/>
      <c r="BN171" s="4"/>
    </row>
    <row r="172" spans="1:66" s="6" customFormat="1" ht="18" customHeight="1" x14ac:dyDescent="0.2">
      <c r="A172" s="65" t="s">
        <v>315</v>
      </c>
      <c r="B172" s="21" t="s">
        <v>11</v>
      </c>
      <c r="C172" s="66" t="s">
        <v>316</v>
      </c>
      <c r="D172" s="23">
        <f>+D179+D173+D176</f>
        <v>137890.85</v>
      </c>
      <c r="E172" s="23">
        <f t="shared" ref="E172:F172" si="50">+E179</f>
        <v>300000</v>
      </c>
      <c r="F172" s="23">
        <f t="shared" si="50"/>
        <v>0</v>
      </c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5"/>
      <c r="W172" s="4"/>
      <c r="X172" s="4"/>
      <c r="Y172" s="4"/>
      <c r="Z172" s="4"/>
      <c r="AC172" s="7"/>
      <c r="AD172" s="7"/>
      <c r="AE172" s="7"/>
      <c r="AF172" s="7"/>
      <c r="AG172" s="7"/>
      <c r="AH172" s="7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BM172" s="4"/>
      <c r="BN172" s="4"/>
    </row>
    <row r="173" spans="1:66" s="6" customFormat="1" ht="76.5" x14ac:dyDescent="0.2">
      <c r="A173" s="114" t="s">
        <v>317</v>
      </c>
      <c r="B173" s="21" t="s">
        <v>11</v>
      </c>
      <c r="C173" s="47" t="s">
        <v>318</v>
      </c>
      <c r="D173" s="23">
        <f>+D174+D175</f>
        <v>104150.18</v>
      </c>
      <c r="E173" s="23">
        <f t="shared" ref="E173:F173" si="51">+E174+E175</f>
        <v>0</v>
      </c>
      <c r="F173" s="23">
        <f t="shared" si="51"/>
        <v>0</v>
      </c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5"/>
      <c r="W173" s="4"/>
      <c r="X173" s="4"/>
      <c r="Y173" s="4"/>
      <c r="Z173" s="4"/>
      <c r="AC173" s="7"/>
      <c r="AD173" s="7"/>
      <c r="AE173" s="7"/>
      <c r="AF173" s="7"/>
      <c r="AG173" s="7"/>
      <c r="AH173" s="7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BM173" s="4"/>
      <c r="BN173" s="4"/>
    </row>
    <row r="174" spans="1:66" s="6" customFormat="1" ht="41.45" customHeight="1" x14ac:dyDescent="0.2">
      <c r="A174" s="114" t="s">
        <v>319</v>
      </c>
      <c r="B174" s="21" t="s">
        <v>223</v>
      </c>
      <c r="C174" s="47" t="s">
        <v>320</v>
      </c>
      <c r="D174" s="23">
        <v>100000</v>
      </c>
      <c r="E174" s="23">
        <v>0</v>
      </c>
      <c r="F174" s="23">
        <v>0</v>
      </c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5"/>
      <c r="W174" s="4"/>
      <c r="X174" s="4"/>
      <c r="Y174" s="4"/>
      <c r="Z174" s="4"/>
      <c r="AC174" s="7"/>
      <c r="AD174" s="7"/>
      <c r="AE174" s="7"/>
      <c r="AF174" s="7"/>
      <c r="AG174" s="7"/>
      <c r="AH174" s="7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BM174" s="4"/>
      <c r="BN174" s="4"/>
    </row>
    <row r="175" spans="1:66" s="6" customFormat="1" ht="51" x14ac:dyDescent="0.2">
      <c r="A175" s="114" t="s">
        <v>321</v>
      </c>
      <c r="B175" s="21" t="s">
        <v>108</v>
      </c>
      <c r="C175" s="47" t="s">
        <v>322</v>
      </c>
      <c r="D175" s="23">
        <v>4150.18</v>
      </c>
      <c r="E175" s="23"/>
      <c r="F175" s="23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5"/>
      <c r="W175" s="4"/>
      <c r="X175" s="4"/>
      <c r="Y175" s="4"/>
      <c r="Z175" s="4"/>
      <c r="AC175" s="7"/>
      <c r="AD175" s="7"/>
      <c r="AE175" s="7"/>
      <c r="AF175" s="7"/>
      <c r="AG175" s="7"/>
      <c r="AH175" s="7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BM175" s="4"/>
      <c r="BN175" s="4"/>
    </row>
    <row r="176" spans="1:66" s="6" customFormat="1" ht="27" customHeight="1" x14ac:dyDescent="0.2">
      <c r="A176" s="46" t="s">
        <v>323</v>
      </c>
      <c r="B176" s="21" t="s">
        <v>11</v>
      </c>
      <c r="C176" s="113" t="s">
        <v>324</v>
      </c>
      <c r="D176" s="23">
        <f>+D178+D177</f>
        <v>33173.629999999997</v>
      </c>
      <c r="E176" s="23">
        <f t="shared" ref="E176:F176" si="52">+E178</f>
        <v>0</v>
      </c>
      <c r="F176" s="23">
        <f t="shared" si="52"/>
        <v>0</v>
      </c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5"/>
      <c r="W176" s="4"/>
      <c r="X176" s="4"/>
      <c r="Y176" s="4"/>
      <c r="Z176" s="4"/>
      <c r="AC176" s="7"/>
      <c r="AD176" s="7"/>
      <c r="AE176" s="7"/>
      <c r="AF176" s="7"/>
      <c r="AG176" s="7"/>
      <c r="AH176" s="7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BM176" s="4"/>
      <c r="BN176" s="4"/>
    </row>
    <row r="177" spans="1:66" s="6" customFormat="1" ht="138.6" customHeight="1" x14ac:dyDescent="0.2">
      <c r="A177" s="46" t="s">
        <v>325</v>
      </c>
      <c r="B177" s="21" t="s">
        <v>103</v>
      </c>
      <c r="C177" s="113" t="s">
        <v>326</v>
      </c>
      <c r="D177" s="23">
        <v>19000</v>
      </c>
      <c r="E177" s="23">
        <v>0</v>
      </c>
      <c r="F177" s="23">
        <v>0</v>
      </c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5"/>
      <c r="W177" s="4"/>
      <c r="X177" s="4"/>
      <c r="Y177" s="4"/>
      <c r="Z177" s="4"/>
      <c r="AC177" s="7"/>
      <c r="AD177" s="7"/>
      <c r="AE177" s="7"/>
      <c r="AF177" s="7"/>
      <c r="AG177" s="7"/>
      <c r="AH177" s="7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BM177" s="4"/>
      <c r="BN177" s="4"/>
    </row>
    <row r="178" spans="1:66" s="6" customFormat="1" ht="127.5" x14ac:dyDescent="0.2">
      <c r="A178" s="46" t="s">
        <v>325</v>
      </c>
      <c r="B178" s="21" t="s">
        <v>108</v>
      </c>
      <c r="C178" s="113" t="s">
        <v>326</v>
      </c>
      <c r="D178" s="23">
        <f>14173.72-0.09</f>
        <v>14173.63</v>
      </c>
      <c r="E178" s="23">
        <v>0</v>
      </c>
      <c r="F178" s="23">
        <v>0</v>
      </c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5"/>
      <c r="W178" s="4"/>
      <c r="X178" s="4"/>
      <c r="Y178" s="4"/>
      <c r="Z178" s="4"/>
      <c r="AC178" s="7"/>
      <c r="AD178" s="7"/>
      <c r="AE178" s="7"/>
      <c r="AF178" s="7"/>
      <c r="AG178" s="7"/>
      <c r="AH178" s="7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BM178" s="4"/>
      <c r="BN178" s="4"/>
    </row>
    <row r="179" spans="1:66" s="6" customFormat="1" ht="63.75" x14ac:dyDescent="0.2">
      <c r="A179" s="61" t="s">
        <v>327</v>
      </c>
      <c r="B179" s="21" t="s">
        <v>11</v>
      </c>
      <c r="C179" s="24" t="s">
        <v>328</v>
      </c>
      <c r="D179" s="23">
        <f>+D180+D184</f>
        <v>567.04000000000087</v>
      </c>
      <c r="E179" s="23">
        <f t="shared" ref="E179:F179" si="53">+E180+E184</f>
        <v>300000</v>
      </c>
      <c r="F179" s="23">
        <f t="shared" si="53"/>
        <v>0</v>
      </c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5"/>
      <c r="W179" s="4"/>
      <c r="X179" s="4"/>
      <c r="Y179" s="4"/>
      <c r="Z179" s="4"/>
      <c r="AC179" s="7"/>
      <c r="AD179" s="7"/>
      <c r="AE179" s="7"/>
      <c r="AF179" s="7"/>
      <c r="AG179" s="7"/>
      <c r="AH179" s="7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BM179" s="4"/>
      <c r="BN179" s="4"/>
    </row>
    <row r="180" spans="1:66" s="6" customFormat="1" ht="55.15" customHeight="1" x14ac:dyDescent="0.2">
      <c r="A180" s="61" t="s">
        <v>329</v>
      </c>
      <c r="B180" s="21" t="s">
        <v>11</v>
      </c>
      <c r="C180" s="24" t="s">
        <v>330</v>
      </c>
      <c r="D180" s="23">
        <f>+D181+D182+D183</f>
        <v>-4432.9599999999991</v>
      </c>
      <c r="E180" s="23">
        <f t="shared" ref="E180:F180" si="54">+E181+E182+E183</f>
        <v>300000</v>
      </c>
      <c r="F180" s="23">
        <f t="shared" si="54"/>
        <v>0</v>
      </c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5"/>
      <c r="W180" s="4"/>
      <c r="X180" s="4"/>
      <c r="Y180" s="4"/>
      <c r="Z180" s="4"/>
      <c r="AC180" s="7"/>
      <c r="AD180" s="7"/>
      <c r="AE180" s="7"/>
      <c r="AF180" s="7"/>
      <c r="AG180" s="7"/>
      <c r="AH180" s="7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BM180" s="4"/>
      <c r="BN180" s="4"/>
    </row>
    <row r="181" spans="1:66" s="6" customFormat="1" ht="109.15" customHeight="1" x14ac:dyDescent="0.2">
      <c r="A181" s="61" t="s">
        <v>331</v>
      </c>
      <c r="B181" s="21" t="s">
        <v>332</v>
      </c>
      <c r="C181" s="24" t="s">
        <v>333</v>
      </c>
      <c r="D181" s="23">
        <v>4160.51</v>
      </c>
      <c r="E181" s="23">
        <v>300000</v>
      </c>
      <c r="F181" s="23">
        <v>0</v>
      </c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5"/>
      <c r="W181" s="4"/>
      <c r="X181" s="4"/>
      <c r="Y181" s="4"/>
      <c r="Z181" s="4"/>
      <c r="AC181" s="7"/>
      <c r="AD181" s="7"/>
      <c r="AE181" s="7"/>
      <c r="AF181" s="7"/>
      <c r="AG181" s="7"/>
      <c r="AH181" s="7"/>
      <c r="AI181" s="4"/>
      <c r="AJ181" s="4"/>
      <c r="AK181" s="4"/>
      <c r="AL181" s="4"/>
      <c r="AM181" s="60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BM181" s="4"/>
      <c r="BN181" s="4"/>
    </row>
    <row r="182" spans="1:66" s="6" customFormat="1" ht="109.15" customHeight="1" x14ac:dyDescent="0.2">
      <c r="A182" s="61" t="s">
        <v>331</v>
      </c>
      <c r="B182" s="21" t="s">
        <v>223</v>
      </c>
      <c r="C182" s="24" t="s">
        <v>333</v>
      </c>
      <c r="D182" s="23">
        <v>-9593.4699999999993</v>
      </c>
      <c r="E182" s="23">
        <v>0</v>
      </c>
      <c r="F182" s="23">
        <v>0</v>
      </c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5"/>
      <c r="W182" s="4"/>
      <c r="X182" s="4"/>
      <c r="Y182" s="4"/>
      <c r="Z182" s="4"/>
      <c r="AC182" s="7"/>
      <c r="AD182" s="7"/>
      <c r="AE182" s="7"/>
      <c r="AF182" s="7"/>
      <c r="AG182" s="7"/>
      <c r="AH182" s="7"/>
      <c r="AI182" s="4"/>
      <c r="AJ182" s="4"/>
      <c r="AK182" s="4"/>
      <c r="AL182" s="4"/>
      <c r="AM182" s="60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BM182" s="4"/>
      <c r="BN182" s="4"/>
    </row>
    <row r="183" spans="1:66" s="6" customFormat="1" ht="104.25" customHeight="1" x14ac:dyDescent="0.2">
      <c r="A183" s="61" t="s">
        <v>331</v>
      </c>
      <c r="B183" s="21" t="s">
        <v>108</v>
      </c>
      <c r="C183" s="24" t="s">
        <v>333</v>
      </c>
      <c r="D183" s="23">
        <v>1000</v>
      </c>
      <c r="E183" s="23">
        <v>0</v>
      </c>
      <c r="F183" s="23">
        <v>0</v>
      </c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5"/>
      <c r="W183" s="4"/>
      <c r="X183" s="4"/>
      <c r="Y183" s="4"/>
      <c r="Z183" s="4"/>
      <c r="AC183" s="7"/>
      <c r="AD183" s="7"/>
      <c r="AE183" s="7"/>
      <c r="AF183" s="7"/>
      <c r="AG183" s="7"/>
      <c r="AH183" s="7"/>
      <c r="AI183" s="4"/>
      <c r="AJ183" s="4"/>
      <c r="AK183" s="4"/>
      <c r="AL183" s="4"/>
      <c r="AM183" s="60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BM183" s="4"/>
      <c r="BN183" s="4"/>
    </row>
    <row r="184" spans="1:66" s="6" customFormat="1" ht="63.75" x14ac:dyDescent="0.2">
      <c r="A184" s="61" t="s">
        <v>334</v>
      </c>
      <c r="B184" s="21" t="s">
        <v>11</v>
      </c>
      <c r="C184" s="24" t="s">
        <v>335</v>
      </c>
      <c r="D184" s="23">
        <f>+D185</f>
        <v>5000</v>
      </c>
      <c r="E184" s="23">
        <f t="shared" ref="E184:F184" si="55">+E185</f>
        <v>0</v>
      </c>
      <c r="F184" s="23">
        <f t="shared" si="55"/>
        <v>0</v>
      </c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5"/>
      <c r="W184" s="4"/>
      <c r="X184" s="4"/>
      <c r="Y184" s="4"/>
      <c r="Z184" s="4"/>
      <c r="AC184" s="7"/>
      <c r="AD184" s="7"/>
      <c r="AE184" s="7"/>
      <c r="AF184" s="7"/>
      <c r="AG184" s="7"/>
      <c r="AH184" s="7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BM184" s="4"/>
      <c r="BN184" s="4"/>
    </row>
    <row r="185" spans="1:66" s="6" customFormat="1" ht="63.75" x14ac:dyDescent="0.2">
      <c r="A185" s="61" t="s">
        <v>334</v>
      </c>
      <c r="B185" s="21" t="s">
        <v>18</v>
      </c>
      <c r="C185" s="24" t="s">
        <v>335</v>
      </c>
      <c r="D185" s="23">
        <v>5000</v>
      </c>
      <c r="E185" s="23">
        <v>0</v>
      </c>
      <c r="F185" s="23">
        <v>0</v>
      </c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5"/>
      <c r="W185" s="4"/>
      <c r="X185" s="4"/>
      <c r="Y185" s="4"/>
      <c r="Z185" s="4"/>
      <c r="AC185" s="7"/>
      <c r="AD185" s="7"/>
      <c r="AE185" s="7"/>
      <c r="AF185" s="7"/>
      <c r="AG185" s="7"/>
      <c r="AH185" s="7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BM185" s="4"/>
      <c r="BN185" s="4"/>
    </row>
    <row r="186" spans="1:66" s="6" customFormat="1" ht="15.6" customHeight="1" x14ac:dyDescent="0.2">
      <c r="A186" s="61" t="s">
        <v>336</v>
      </c>
      <c r="B186" s="62" t="s">
        <v>11</v>
      </c>
      <c r="C186" s="63" t="s">
        <v>337</v>
      </c>
      <c r="D186" s="23">
        <f t="shared" ref="D186:F187" si="56">+D187</f>
        <v>646181.82000000007</v>
      </c>
      <c r="E186" s="23">
        <f t="shared" si="56"/>
        <v>501000</v>
      </c>
      <c r="F186" s="23">
        <f t="shared" si="56"/>
        <v>501000</v>
      </c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5"/>
      <c r="W186" s="4"/>
      <c r="X186" s="4"/>
      <c r="Y186" s="4"/>
      <c r="Z186" s="4"/>
      <c r="AC186" s="7"/>
      <c r="AD186" s="7"/>
      <c r="AE186" s="7"/>
      <c r="AF186" s="7"/>
      <c r="AG186" s="7"/>
      <c r="AH186" s="7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BM186" s="4"/>
      <c r="BN186" s="4"/>
    </row>
    <row r="187" spans="1:66" s="6" customFormat="1" ht="27.6" customHeight="1" x14ac:dyDescent="0.2">
      <c r="A187" s="61" t="s">
        <v>338</v>
      </c>
      <c r="B187" s="62" t="s">
        <v>11</v>
      </c>
      <c r="C187" s="63" t="s">
        <v>339</v>
      </c>
      <c r="D187" s="23">
        <f t="shared" si="56"/>
        <v>646181.82000000007</v>
      </c>
      <c r="E187" s="23">
        <f t="shared" si="56"/>
        <v>501000</v>
      </c>
      <c r="F187" s="23">
        <f t="shared" si="56"/>
        <v>501000</v>
      </c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5"/>
      <c r="W187" s="4"/>
      <c r="X187" s="4"/>
      <c r="Y187" s="4"/>
      <c r="Z187" s="4"/>
      <c r="AC187" s="7"/>
      <c r="AD187" s="7"/>
      <c r="AE187" s="7"/>
      <c r="AF187" s="7"/>
      <c r="AG187" s="7"/>
      <c r="AH187" s="7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BM187" s="4"/>
      <c r="BN187" s="4"/>
    </row>
    <row r="188" spans="1:66" s="6" customFormat="1" ht="55.15" customHeight="1" x14ac:dyDescent="0.2">
      <c r="A188" s="38" t="s">
        <v>340</v>
      </c>
      <c r="B188" s="62" t="s">
        <v>108</v>
      </c>
      <c r="C188" s="63" t="s">
        <v>341</v>
      </c>
      <c r="D188" s="23">
        <f>501000+145181.82</f>
        <v>646181.82000000007</v>
      </c>
      <c r="E188" s="23">
        <v>501000</v>
      </c>
      <c r="F188" s="23">
        <v>501000</v>
      </c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5"/>
      <c r="W188" s="4"/>
      <c r="X188" s="4"/>
      <c r="Y188" s="4"/>
      <c r="Z188" s="4"/>
      <c r="AC188" s="7"/>
      <c r="AD188" s="7"/>
      <c r="AE188" s="7"/>
      <c r="AF188" s="7"/>
      <c r="AG188" s="7"/>
      <c r="AH188" s="7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BM188" s="4"/>
      <c r="BN188" s="4"/>
    </row>
    <row r="189" spans="1:66" s="6" customFormat="1" ht="16.149999999999999" customHeight="1" x14ac:dyDescent="0.25">
      <c r="A189" s="38" t="s">
        <v>342</v>
      </c>
      <c r="B189" s="21" t="s">
        <v>11</v>
      </c>
      <c r="C189" s="24" t="s">
        <v>343</v>
      </c>
      <c r="D189" s="23">
        <f>+D190+D193</f>
        <v>3929426.5</v>
      </c>
      <c r="E189" s="23">
        <f t="shared" ref="D189:F191" si="57">+E190</f>
        <v>0</v>
      </c>
      <c r="F189" s="23">
        <f t="shared" si="57"/>
        <v>0</v>
      </c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5"/>
      <c r="W189" s="4"/>
      <c r="X189" s="4"/>
      <c r="Y189" s="4"/>
      <c r="Z189" s="4"/>
      <c r="AC189" s="7"/>
      <c r="AD189" s="7"/>
      <c r="AE189" s="7"/>
      <c r="AF189" s="7"/>
      <c r="AG189" s="7"/>
      <c r="AH189" s="7"/>
      <c r="AI189" s="4"/>
      <c r="AJ189" s="4"/>
      <c r="AK189" s="4"/>
      <c r="AL189" s="4"/>
      <c r="AM189" s="4"/>
      <c r="AN189" s="4"/>
      <c r="AO189" s="4"/>
      <c r="AP189" s="4"/>
      <c r="AQ189" s="4"/>
      <c r="AR189" s="8"/>
      <c r="AS189" s="8"/>
      <c r="AT189" s="4"/>
      <c r="AU189" s="4"/>
      <c r="AV189" s="4"/>
      <c r="AW189" s="4"/>
      <c r="BM189" s="4"/>
      <c r="BN189" s="4"/>
    </row>
    <row r="190" spans="1:66" s="6" customFormat="1" ht="16.149999999999999" customHeight="1" x14ac:dyDescent="0.25">
      <c r="A190" s="38" t="s">
        <v>344</v>
      </c>
      <c r="B190" s="21" t="s">
        <v>11</v>
      </c>
      <c r="C190" s="24" t="s">
        <v>345</v>
      </c>
      <c r="D190" s="23">
        <f t="shared" si="57"/>
        <v>652363</v>
      </c>
      <c r="E190" s="23">
        <f t="shared" si="57"/>
        <v>0</v>
      </c>
      <c r="F190" s="23">
        <f t="shared" si="57"/>
        <v>0</v>
      </c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5"/>
      <c r="W190" s="4"/>
      <c r="X190" s="4"/>
      <c r="Y190" s="4"/>
      <c r="Z190" s="4"/>
      <c r="AC190" s="7"/>
      <c r="AD190" s="7"/>
      <c r="AE190" s="7"/>
      <c r="AF190" s="7"/>
      <c r="AG190" s="7"/>
      <c r="AH190" s="7"/>
      <c r="AI190" s="4"/>
      <c r="AJ190" s="4"/>
      <c r="AK190" s="4"/>
      <c r="AL190" s="4"/>
      <c r="AM190" s="4"/>
      <c r="AN190" s="4"/>
      <c r="AO190" s="4"/>
      <c r="AP190" s="4"/>
      <c r="AQ190" s="4"/>
      <c r="AR190" s="8"/>
      <c r="AS190" s="8"/>
      <c r="AT190" s="4"/>
      <c r="AU190" s="4"/>
      <c r="AV190" s="4"/>
      <c r="AW190" s="4"/>
      <c r="BM190" s="4"/>
      <c r="BN190" s="4"/>
    </row>
    <row r="191" spans="1:66" s="6" customFormat="1" ht="18" customHeight="1" x14ac:dyDescent="0.25">
      <c r="A191" s="38" t="s">
        <v>346</v>
      </c>
      <c r="B191" s="21" t="s">
        <v>11</v>
      </c>
      <c r="C191" s="24" t="s">
        <v>347</v>
      </c>
      <c r="D191" s="23">
        <f t="shared" si="57"/>
        <v>652363</v>
      </c>
      <c r="E191" s="23">
        <f t="shared" si="57"/>
        <v>0</v>
      </c>
      <c r="F191" s="23">
        <f t="shared" si="57"/>
        <v>0</v>
      </c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5"/>
      <c r="W191" s="4"/>
      <c r="X191" s="4"/>
      <c r="Y191" s="4"/>
      <c r="Z191" s="4"/>
      <c r="AC191" s="7"/>
      <c r="AD191" s="7"/>
      <c r="AE191" s="7"/>
      <c r="AF191" s="7"/>
      <c r="AG191" s="7"/>
      <c r="AH191" s="7"/>
      <c r="AI191" s="4"/>
      <c r="AJ191" s="4"/>
      <c r="AK191" s="4"/>
      <c r="AL191" s="4"/>
      <c r="AM191" s="4"/>
      <c r="AN191" s="4"/>
      <c r="AO191" s="4"/>
      <c r="AP191" s="4"/>
      <c r="AQ191" s="4"/>
      <c r="AR191" s="8"/>
      <c r="AS191" s="8"/>
      <c r="AT191" s="4"/>
      <c r="AU191" s="4"/>
      <c r="AV191" s="4"/>
      <c r="AW191" s="4"/>
      <c r="BM191" s="4"/>
      <c r="BN191" s="4"/>
    </row>
    <row r="192" spans="1:66" s="6" customFormat="1" ht="30" customHeight="1" x14ac:dyDescent="0.25">
      <c r="A192" s="20" t="s">
        <v>348</v>
      </c>
      <c r="B192" s="21" t="s">
        <v>103</v>
      </c>
      <c r="C192" s="24" t="s">
        <v>349</v>
      </c>
      <c r="D192" s="23">
        <f>4537+386000+261826</f>
        <v>652363</v>
      </c>
      <c r="E192" s="23">
        <v>0</v>
      </c>
      <c r="F192" s="23">
        <v>0</v>
      </c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5"/>
      <c r="W192" s="4"/>
      <c r="X192" s="4"/>
      <c r="Y192" s="4"/>
      <c r="Z192" s="4"/>
      <c r="AC192" s="7"/>
      <c r="AD192" s="7"/>
      <c r="AE192" s="7"/>
      <c r="AF192" s="7"/>
      <c r="AG192" s="7"/>
      <c r="AH192" s="7"/>
      <c r="AI192" s="4"/>
      <c r="AJ192" s="4"/>
      <c r="AK192" s="4"/>
      <c r="AL192" s="4"/>
      <c r="AM192" s="4"/>
      <c r="AN192" s="4"/>
      <c r="AO192" s="4"/>
      <c r="AP192" s="4"/>
      <c r="AQ192" s="4"/>
      <c r="AR192" s="8"/>
      <c r="AS192" s="8"/>
      <c r="AT192" s="4"/>
      <c r="AU192" s="4"/>
      <c r="AV192" s="4"/>
      <c r="AW192" s="4"/>
      <c r="BM192" s="4"/>
      <c r="BN192" s="4"/>
    </row>
    <row r="193" spans="1:66" s="6" customFormat="1" ht="16.149999999999999" customHeight="1" x14ac:dyDescent="0.25">
      <c r="A193" s="20" t="s">
        <v>350</v>
      </c>
      <c r="B193" s="21" t="s">
        <v>11</v>
      </c>
      <c r="C193" s="24" t="s">
        <v>351</v>
      </c>
      <c r="D193" s="23">
        <f>+D194</f>
        <v>3277063.5</v>
      </c>
      <c r="E193" s="23">
        <f t="shared" ref="E193:F193" si="58">+E194</f>
        <v>0</v>
      </c>
      <c r="F193" s="23">
        <f t="shared" si="58"/>
        <v>0</v>
      </c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5"/>
      <c r="W193" s="4"/>
      <c r="X193" s="4"/>
      <c r="Y193" s="4"/>
      <c r="Z193" s="4"/>
      <c r="AC193" s="7"/>
      <c r="AD193" s="7"/>
      <c r="AE193" s="7"/>
      <c r="AF193" s="7"/>
      <c r="AG193" s="7"/>
      <c r="AH193" s="7"/>
      <c r="AI193" s="4"/>
      <c r="AJ193" s="4"/>
      <c r="AK193" s="4"/>
      <c r="AL193" s="4"/>
      <c r="AM193" s="4"/>
      <c r="AN193" s="4"/>
      <c r="AO193" s="4"/>
      <c r="AP193" s="4"/>
      <c r="AQ193" s="4"/>
      <c r="AR193" s="8"/>
      <c r="AS193" s="8"/>
      <c r="AT193" s="4"/>
      <c r="AU193" s="4"/>
      <c r="AV193" s="4"/>
      <c r="AW193" s="4"/>
      <c r="BM193" s="4"/>
      <c r="BN193" s="4"/>
    </row>
    <row r="194" spans="1:66" s="6" customFormat="1" ht="25.5" x14ac:dyDescent="0.25">
      <c r="A194" s="20" t="s">
        <v>352</v>
      </c>
      <c r="B194" s="21" t="s">
        <v>11</v>
      </c>
      <c r="C194" s="24" t="s">
        <v>353</v>
      </c>
      <c r="D194" s="23">
        <f>+D195+D196+D197+D198+D199+D200+D201+D202+D203+D204+D205+D206+D207+D208+D209</f>
        <v>3277063.5</v>
      </c>
      <c r="E194" s="23">
        <f t="shared" ref="E194:F194" si="59">+E195+E196+E197+E198+E199+E200+E201+E202+E203+E204+E205+E206+E207+E208+E209</f>
        <v>0</v>
      </c>
      <c r="F194" s="23">
        <f t="shared" si="59"/>
        <v>0</v>
      </c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5"/>
      <c r="W194" s="4"/>
      <c r="X194" s="4"/>
      <c r="Y194" s="4"/>
      <c r="Z194" s="4"/>
      <c r="AC194" s="7"/>
      <c r="AD194" s="7"/>
      <c r="AE194" s="7"/>
      <c r="AF194" s="7"/>
      <c r="AG194" s="7"/>
      <c r="AH194" s="7"/>
      <c r="AI194" s="4"/>
      <c r="AJ194" s="4"/>
      <c r="AK194" s="4"/>
      <c r="AL194" s="4"/>
      <c r="AM194" s="4"/>
      <c r="AN194" s="4"/>
      <c r="AO194" s="4"/>
      <c r="AP194" s="4"/>
      <c r="AQ194" s="4"/>
      <c r="AR194" s="8"/>
      <c r="AS194" s="8"/>
      <c r="AT194" s="4"/>
      <c r="AU194" s="4"/>
      <c r="AV194" s="4"/>
      <c r="AW194" s="4"/>
      <c r="BM194" s="4"/>
      <c r="BN194" s="4"/>
    </row>
    <row r="195" spans="1:66" s="6" customFormat="1" ht="38.25" x14ac:dyDescent="0.25">
      <c r="A195" s="115" t="s">
        <v>354</v>
      </c>
      <c r="B195" s="21" t="s">
        <v>223</v>
      </c>
      <c r="C195" s="116" t="s">
        <v>355</v>
      </c>
      <c r="D195" s="117">
        <v>230000</v>
      </c>
      <c r="E195" s="23">
        <v>0</v>
      </c>
      <c r="F195" s="23">
        <v>0</v>
      </c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5"/>
      <c r="W195" s="4"/>
      <c r="X195" s="4"/>
      <c r="Y195" s="4"/>
      <c r="Z195" s="4"/>
      <c r="AC195" s="7"/>
      <c r="AD195" s="7"/>
      <c r="AE195" s="7"/>
      <c r="AF195" s="7"/>
      <c r="AG195" s="7"/>
      <c r="AH195" s="7"/>
      <c r="AI195" s="4"/>
      <c r="AJ195" s="4"/>
      <c r="AK195" s="4"/>
      <c r="AL195" s="4"/>
      <c r="AM195" s="4"/>
      <c r="AN195" s="4"/>
      <c r="AO195" s="4"/>
      <c r="AP195" s="4"/>
      <c r="AQ195" s="4"/>
      <c r="AR195" s="8"/>
      <c r="AS195" s="8"/>
      <c r="AT195" s="4"/>
      <c r="AU195" s="4"/>
      <c r="AV195" s="4"/>
      <c r="AW195" s="4"/>
      <c r="BM195" s="4"/>
      <c r="BN195" s="4"/>
    </row>
    <row r="196" spans="1:66" s="6" customFormat="1" ht="25.5" x14ac:dyDescent="0.25">
      <c r="A196" s="115" t="s">
        <v>356</v>
      </c>
      <c r="B196" s="21" t="s">
        <v>223</v>
      </c>
      <c r="C196" s="116" t="s">
        <v>357</v>
      </c>
      <c r="D196" s="117">
        <v>225000</v>
      </c>
      <c r="E196" s="23">
        <v>0</v>
      </c>
      <c r="F196" s="23">
        <v>0</v>
      </c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5"/>
      <c r="W196" s="4"/>
      <c r="X196" s="4"/>
      <c r="Y196" s="4"/>
      <c r="Z196" s="4"/>
      <c r="AC196" s="7"/>
      <c r="AD196" s="7"/>
      <c r="AE196" s="7"/>
      <c r="AF196" s="7"/>
      <c r="AG196" s="7"/>
      <c r="AH196" s="7"/>
      <c r="AI196" s="4"/>
      <c r="AJ196" s="4"/>
      <c r="AK196" s="4"/>
      <c r="AL196" s="4"/>
      <c r="AM196" s="4"/>
      <c r="AN196" s="4"/>
      <c r="AO196" s="4"/>
      <c r="AP196" s="4"/>
      <c r="AQ196" s="4"/>
      <c r="AR196" s="8"/>
      <c r="AS196" s="8"/>
      <c r="AT196" s="4"/>
      <c r="AU196" s="4"/>
      <c r="AV196" s="4"/>
      <c r="AW196" s="4"/>
      <c r="BM196" s="4"/>
      <c r="BN196" s="4"/>
    </row>
    <row r="197" spans="1:66" s="6" customFormat="1" ht="51" x14ac:dyDescent="0.25">
      <c r="A197" s="115" t="s">
        <v>358</v>
      </c>
      <c r="B197" s="21" t="s">
        <v>223</v>
      </c>
      <c r="C197" s="116" t="s">
        <v>359</v>
      </c>
      <c r="D197" s="117">
        <v>220000</v>
      </c>
      <c r="E197" s="23">
        <v>0</v>
      </c>
      <c r="F197" s="23">
        <v>0</v>
      </c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5"/>
      <c r="W197" s="4"/>
      <c r="X197" s="4"/>
      <c r="Y197" s="4"/>
      <c r="Z197" s="4"/>
      <c r="AC197" s="7"/>
      <c r="AD197" s="7"/>
      <c r="AE197" s="7"/>
      <c r="AF197" s="7"/>
      <c r="AG197" s="7"/>
      <c r="AH197" s="7"/>
      <c r="AI197" s="4"/>
      <c r="AJ197" s="4"/>
      <c r="AK197" s="4"/>
      <c r="AL197" s="4"/>
      <c r="AM197" s="4"/>
      <c r="AN197" s="4"/>
      <c r="AO197" s="4"/>
      <c r="AP197" s="4"/>
      <c r="AQ197" s="4"/>
      <c r="AR197" s="8"/>
      <c r="AS197" s="8"/>
      <c r="AT197" s="4"/>
      <c r="AU197" s="4"/>
      <c r="AV197" s="4"/>
      <c r="AW197" s="4"/>
      <c r="BM197" s="4"/>
      <c r="BN197" s="4"/>
    </row>
    <row r="198" spans="1:66" s="6" customFormat="1" ht="76.5" x14ac:dyDescent="0.25">
      <c r="A198" s="115" t="s">
        <v>360</v>
      </c>
      <c r="B198" s="21" t="s">
        <v>223</v>
      </c>
      <c r="C198" s="116" t="s">
        <v>361</v>
      </c>
      <c r="D198" s="117">
        <v>220000</v>
      </c>
      <c r="E198" s="23">
        <v>0</v>
      </c>
      <c r="F198" s="23">
        <v>0</v>
      </c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5"/>
      <c r="W198" s="4"/>
      <c r="X198" s="4"/>
      <c r="Y198" s="4"/>
      <c r="Z198" s="4"/>
      <c r="AC198" s="7"/>
      <c r="AD198" s="7"/>
      <c r="AE198" s="7"/>
      <c r="AF198" s="7"/>
      <c r="AG198" s="7"/>
      <c r="AH198" s="7"/>
      <c r="AI198" s="4"/>
      <c r="AJ198" s="4"/>
      <c r="AK198" s="4"/>
      <c r="AL198" s="4"/>
      <c r="AM198" s="4"/>
      <c r="AN198" s="4"/>
      <c r="AO198" s="4"/>
      <c r="AP198" s="4"/>
      <c r="AQ198" s="4"/>
      <c r="AR198" s="8"/>
      <c r="AS198" s="8"/>
      <c r="AT198" s="4"/>
      <c r="AU198" s="4"/>
      <c r="AV198" s="4"/>
      <c r="AW198" s="4"/>
      <c r="BM198" s="4"/>
      <c r="BN198" s="4"/>
    </row>
    <row r="199" spans="1:66" s="6" customFormat="1" ht="25.5" x14ac:dyDescent="0.25">
      <c r="A199" s="115" t="s">
        <v>362</v>
      </c>
      <c r="B199" s="21" t="s">
        <v>223</v>
      </c>
      <c r="C199" s="116" t="s">
        <v>363</v>
      </c>
      <c r="D199" s="117">
        <v>220000</v>
      </c>
      <c r="E199" s="23">
        <v>0</v>
      </c>
      <c r="F199" s="23">
        <v>0</v>
      </c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5"/>
      <c r="W199" s="4"/>
      <c r="X199" s="4"/>
      <c r="Y199" s="4"/>
      <c r="Z199" s="4"/>
      <c r="AC199" s="7"/>
      <c r="AD199" s="7"/>
      <c r="AE199" s="7"/>
      <c r="AF199" s="7"/>
      <c r="AG199" s="7"/>
      <c r="AH199" s="7"/>
      <c r="AI199" s="4"/>
      <c r="AJ199" s="4"/>
      <c r="AK199" s="4"/>
      <c r="AL199" s="4"/>
      <c r="AM199" s="4"/>
      <c r="AN199" s="4"/>
      <c r="AO199" s="4"/>
      <c r="AP199" s="4"/>
      <c r="AQ199" s="4"/>
      <c r="AR199" s="8"/>
      <c r="AS199" s="8"/>
      <c r="AT199" s="4"/>
      <c r="AU199" s="4"/>
      <c r="AV199" s="4"/>
      <c r="AW199" s="4"/>
      <c r="BM199" s="4"/>
      <c r="BN199" s="4"/>
    </row>
    <row r="200" spans="1:66" s="6" customFormat="1" ht="51" x14ac:dyDescent="0.25">
      <c r="A200" s="115" t="s">
        <v>364</v>
      </c>
      <c r="B200" s="21" t="s">
        <v>223</v>
      </c>
      <c r="C200" s="116" t="s">
        <v>365</v>
      </c>
      <c r="D200" s="117">
        <v>220000</v>
      </c>
      <c r="E200" s="23">
        <v>0</v>
      </c>
      <c r="F200" s="23">
        <v>0</v>
      </c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5"/>
      <c r="W200" s="4"/>
      <c r="X200" s="4"/>
      <c r="Y200" s="4"/>
      <c r="Z200" s="4"/>
      <c r="AC200" s="7"/>
      <c r="AD200" s="7"/>
      <c r="AE200" s="7"/>
      <c r="AF200" s="7"/>
      <c r="AG200" s="7"/>
      <c r="AH200" s="7"/>
      <c r="AI200" s="4"/>
      <c r="AJ200" s="4"/>
      <c r="AK200" s="4"/>
      <c r="AL200" s="4"/>
      <c r="AM200" s="4"/>
      <c r="AN200" s="4"/>
      <c r="AO200" s="4"/>
      <c r="AP200" s="4"/>
      <c r="AQ200" s="4"/>
      <c r="AR200" s="8"/>
      <c r="AS200" s="8"/>
      <c r="AT200" s="4"/>
      <c r="AU200" s="4"/>
      <c r="AV200" s="4"/>
      <c r="AW200" s="4"/>
      <c r="BM200" s="4"/>
      <c r="BN200" s="4"/>
    </row>
    <row r="201" spans="1:66" s="6" customFormat="1" ht="51" x14ac:dyDescent="0.25">
      <c r="A201" s="115" t="s">
        <v>366</v>
      </c>
      <c r="B201" s="21" t="s">
        <v>223</v>
      </c>
      <c r="C201" s="116" t="s">
        <v>367</v>
      </c>
      <c r="D201" s="117">
        <v>220000</v>
      </c>
      <c r="E201" s="23">
        <v>0</v>
      </c>
      <c r="F201" s="23">
        <v>0</v>
      </c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5"/>
      <c r="W201" s="4"/>
      <c r="X201" s="4"/>
      <c r="Y201" s="4"/>
      <c r="Z201" s="4"/>
      <c r="AC201" s="7"/>
      <c r="AD201" s="7"/>
      <c r="AE201" s="7"/>
      <c r="AF201" s="7"/>
      <c r="AG201" s="7"/>
      <c r="AH201" s="7"/>
      <c r="AI201" s="4"/>
      <c r="AJ201" s="4"/>
      <c r="AK201" s="4"/>
      <c r="AL201" s="4"/>
      <c r="AM201" s="4"/>
      <c r="AN201" s="4"/>
      <c r="AO201" s="4"/>
      <c r="AP201" s="4"/>
      <c r="AQ201" s="4"/>
      <c r="AR201" s="8"/>
      <c r="AS201" s="8"/>
      <c r="AT201" s="4"/>
      <c r="AU201" s="4"/>
      <c r="AV201" s="4"/>
      <c r="AW201" s="4"/>
      <c r="BM201" s="4"/>
      <c r="BN201" s="4"/>
    </row>
    <row r="202" spans="1:66" s="6" customFormat="1" ht="63.75" x14ac:dyDescent="0.25">
      <c r="A202" s="115" t="s">
        <v>368</v>
      </c>
      <c r="B202" s="21" t="s">
        <v>223</v>
      </c>
      <c r="C202" s="116" t="s">
        <v>369</v>
      </c>
      <c r="D202" s="117">
        <v>220000</v>
      </c>
      <c r="E202" s="23">
        <v>0</v>
      </c>
      <c r="F202" s="23">
        <v>0</v>
      </c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5"/>
      <c r="W202" s="4"/>
      <c r="X202" s="4"/>
      <c r="Y202" s="4"/>
      <c r="Z202" s="4"/>
      <c r="AC202" s="7"/>
      <c r="AD202" s="7"/>
      <c r="AE202" s="7"/>
      <c r="AF202" s="7"/>
      <c r="AG202" s="7"/>
      <c r="AH202" s="7"/>
      <c r="AI202" s="4"/>
      <c r="AJ202" s="4"/>
      <c r="AK202" s="4"/>
      <c r="AL202" s="4"/>
      <c r="AM202" s="4"/>
      <c r="AN202" s="4"/>
      <c r="AO202" s="4"/>
      <c r="AP202" s="4"/>
      <c r="AQ202" s="4"/>
      <c r="AR202" s="8"/>
      <c r="AS202" s="8"/>
      <c r="AT202" s="4"/>
      <c r="AU202" s="4"/>
      <c r="AV202" s="4"/>
      <c r="AW202" s="4"/>
      <c r="BM202" s="4"/>
      <c r="BN202" s="4"/>
    </row>
    <row r="203" spans="1:66" s="6" customFormat="1" ht="38.25" x14ac:dyDescent="0.25">
      <c r="A203" s="115" t="s">
        <v>370</v>
      </c>
      <c r="B203" s="21" t="s">
        <v>223</v>
      </c>
      <c r="C203" s="116" t="s">
        <v>371</v>
      </c>
      <c r="D203" s="117">
        <v>200328.5</v>
      </c>
      <c r="E203" s="23">
        <v>0</v>
      </c>
      <c r="F203" s="23">
        <v>0</v>
      </c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5"/>
      <c r="W203" s="4"/>
      <c r="X203" s="4"/>
      <c r="Y203" s="4"/>
      <c r="Z203" s="4"/>
      <c r="AC203" s="7"/>
      <c r="AD203" s="7"/>
      <c r="AE203" s="7"/>
      <c r="AF203" s="7"/>
      <c r="AG203" s="7"/>
      <c r="AH203" s="7"/>
      <c r="AI203" s="4"/>
      <c r="AJ203" s="4"/>
      <c r="AK203" s="4"/>
      <c r="AL203" s="4"/>
      <c r="AM203" s="4"/>
      <c r="AN203" s="4"/>
      <c r="AO203" s="4"/>
      <c r="AP203" s="4"/>
      <c r="AQ203" s="4"/>
      <c r="AR203" s="8"/>
      <c r="AS203" s="8"/>
      <c r="AT203" s="4"/>
      <c r="AU203" s="4"/>
      <c r="AV203" s="4"/>
      <c r="AW203" s="4"/>
      <c r="BM203" s="4"/>
      <c r="BN203" s="4"/>
    </row>
    <row r="204" spans="1:66" s="6" customFormat="1" ht="63.75" x14ac:dyDescent="0.25">
      <c r="A204" s="115" t="s">
        <v>372</v>
      </c>
      <c r="B204" s="21" t="s">
        <v>223</v>
      </c>
      <c r="C204" s="116" t="s">
        <v>373</v>
      </c>
      <c r="D204" s="117">
        <v>224719</v>
      </c>
      <c r="E204" s="23">
        <v>0</v>
      </c>
      <c r="F204" s="23">
        <v>0</v>
      </c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5"/>
      <c r="W204" s="4"/>
      <c r="X204" s="4"/>
      <c r="Y204" s="4"/>
      <c r="Z204" s="4"/>
      <c r="AC204" s="7"/>
      <c r="AD204" s="7"/>
      <c r="AE204" s="7"/>
      <c r="AF204" s="7"/>
      <c r="AG204" s="7"/>
      <c r="AH204" s="7"/>
      <c r="AI204" s="4"/>
      <c r="AJ204" s="4"/>
      <c r="AK204" s="4"/>
      <c r="AL204" s="4"/>
      <c r="AM204" s="4"/>
      <c r="AN204" s="4"/>
      <c r="AO204" s="4"/>
      <c r="AP204" s="4"/>
      <c r="AQ204" s="4"/>
      <c r="AR204" s="8"/>
      <c r="AS204" s="8"/>
      <c r="AT204" s="4"/>
      <c r="AU204" s="4"/>
      <c r="AV204" s="4"/>
      <c r="AW204" s="4"/>
      <c r="BM204" s="4"/>
      <c r="BN204" s="4"/>
    </row>
    <row r="205" spans="1:66" s="6" customFormat="1" ht="76.5" x14ac:dyDescent="0.25">
      <c r="A205" s="115" t="s">
        <v>374</v>
      </c>
      <c r="B205" s="21" t="s">
        <v>223</v>
      </c>
      <c r="C205" s="116" t="s">
        <v>375</v>
      </c>
      <c r="D205" s="117">
        <v>224719</v>
      </c>
      <c r="E205" s="23">
        <v>0</v>
      </c>
      <c r="F205" s="23">
        <v>0</v>
      </c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5"/>
      <c r="W205" s="4"/>
      <c r="X205" s="4"/>
      <c r="Y205" s="4"/>
      <c r="Z205" s="4"/>
      <c r="AC205" s="7"/>
      <c r="AD205" s="7"/>
      <c r="AE205" s="7"/>
      <c r="AF205" s="7"/>
      <c r="AG205" s="7"/>
      <c r="AH205" s="7"/>
      <c r="AI205" s="4"/>
      <c r="AJ205" s="4"/>
      <c r="AK205" s="4"/>
      <c r="AL205" s="4"/>
      <c r="AM205" s="4"/>
      <c r="AN205" s="4"/>
      <c r="AO205" s="4"/>
      <c r="AP205" s="4"/>
      <c r="AQ205" s="4"/>
      <c r="AR205" s="8"/>
      <c r="AS205" s="8"/>
      <c r="AT205" s="4"/>
      <c r="AU205" s="4"/>
      <c r="AV205" s="4"/>
      <c r="AW205" s="4"/>
      <c r="BM205" s="4"/>
      <c r="BN205" s="4"/>
    </row>
    <row r="206" spans="1:66" s="6" customFormat="1" ht="76.5" x14ac:dyDescent="0.25">
      <c r="A206" s="115" t="s">
        <v>376</v>
      </c>
      <c r="B206" s="21" t="s">
        <v>223</v>
      </c>
      <c r="C206" s="116" t="s">
        <v>377</v>
      </c>
      <c r="D206" s="117">
        <v>178140</v>
      </c>
      <c r="E206" s="23">
        <v>0</v>
      </c>
      <c r="F206" s="23">
        <v>0</v>
      </c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5"/>
      <c r="W206" s="4"/>
      <c r="X206" s="4"/>
      <c r="Y206" s="4"/>
      <c r="Z206" s="4"/>
      <c r="AC206" s="7"/>
      <c r="AD206" s="7"/>
      <c r="AE206" s="7"/>
      <c r="AF206" s="7"/>
      <c r="AG206" s="7"/>
      <c r="AH206" s="7"/>
      <c r="AI206" s="4"/>
      <c r="AJ206" s="4"/>
      <c r="AK206" s="4"/>
      <c r="AL206" s="4"/>
      <c r="AM206" s="4"/>
      <c r="AN206" s="4"/>
      <c r="AO206" s="4"/>
      <c r="AP206" s="4"/>
      <c r="AQ206" s="4"/>
      <c r="AR206" s="8"/>
      <c r="AS206" s="8"/>
      <c r="AT206" s="4"/>
      <c r="AU206" s="4"/>
      <c r="AV206" s="4"/>
      <c r="AW206" s="4"/>
      <c r="BM206" s="4"/>
      <c r="BN206" s="4"/>
    </row>
    <row r="207" spans="1:66" s="6" customFormat="1" ht="38.25" x14ac:dyDescent="0.25">
      <c r="A207" s="115" t="s">
        <v>378</v>
      </c>
      <c r="B207" s="21" t="s">
        <v>223</v>
      </c>
      <c r="C207" s="116" t="s">
        <v>379</v>
      </c>
      <c r="D207" s="117">
        <v>224719</v>
      </c>
      <c r="E207" s="23">
        <v>0</v>
      </c>
      <c r="F207" s="23">
        <v>0</v>
      </c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5"/>
      <c r="W207" s="4"/>
      <c r="X207" s="4"/>
      <c r="Y207" s="4"/>
      <c r="Z207" s="4"/>
      <c r="AC207" s="7"/>
      <c r="AD207" s="7"/>
      <c r="AE207" s="7"/>
      <c r="AF207" s="7"/>
      <c r="AG207" s="7"/>
      <c r="AH207" s="7"/>
      <c r="AI207" s="4"/>
      <c r="AJ207" s="4"/>
      <c r="AK207" s="4"/>
      <c r="AL207" s="4"/>
      <c r="AM207" s="4"/>
      <c r="AN207" s="4"/>
      <c r="AO207" s="4"/>
      <c r="AP207" s="4"/>
      <c r="AQ207" s="4"/>
      <c r="AR207" s="8"/>
      <c r="AS207" s="8"/>
      <c r="AT207" s="4"/>
      <c r="AU207" s="4"/>
      <c r="AV207" s="4"/>
      <c r="AW207" s="4"/>
      <c r="BM207" s="4"/>
      <c r="BN207" s="4"/>
    </row>
    <row r="208" spans="1:66" s="6" customFormat="1" ht="51" x14ac:dyDescent="0.25">
      <c r="A208" s="115" t="s">
        <v>380</v>
      </c>
      <c r="B208" s="21" t="s">
        <v>223</v>
      </c>
      <c r="C208" s="116" t="s">
        <v>381</v>
      </c>
      <c r="D208" s="117">
        <v>224719</v>
      </c>
      <c r="E208" s="23">
        <v>0</v>
      </c>
      <c r="F208" s="23">
        <v>0</v>
      </c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5"/>
      <c r="W208" s="4"/>
      <c r="X208" s="4"/>
      <c r="Y208" s="4"/>
      <c r="Z208" s="4"/>
      <c r="AC208" s="7"/>
      <c r="AD208" s="7"/>
      <c r="AE208" s="7"/>
      <c r="AF208" s="7"/>
      <c r="AG208" s="7"/>
      <c r="AH208" s="7"/>
      <c r="AI208" s="4"/>
      <c r="AJ208" s="4"/>
      <c r="AK208" s="4"/>
      <c r="AL208" s="4"/>
      <c r="AM208" s="4"/>
      <c r="AN208" s="4"/>
      <c r="AO208" s="4"/>
      <c r="AP208" s="4"/>
      <c r="AQ208" s="4"/>
      <c r="AR208" s="8"/>
      <c r="AS208" s="8"/>
      <c r="AT208" s="4"/>
      <c r="AU208" s="4"/>
      <c r="AV208" s="4"/>
      <c r="AW208" s="4"/>
      <c r="BM208" s="4"/>
      <c r="BN208" s="4"/>
    </row>
    <row r="209" spans="1:66" s="6" customFormat="1" ht="51" x14ac:dyDescent="0.25">
      <c r="A209" s="115" t="s">
        <v>382</v>
      </c>
      <c r="B209" s="21" t="s">
        <v>223</v>
      </c>
      <c r="C209" s="116" t="s">
        <v>383</v>
      </c>
      <c r="D209" s="117">
        <v>224719</v>
      </c>
      <c r="E209" s="23">
        <v>0</v>
      </c>
      <c r="F209" s="23">
        <v>0</v>
      </c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5"/>
      <c r="W209" s="4"/>
      <c r="X209" s="4"/>
      <c r="Y209" s="4"/>
      <c r="Z209" s="4"/>
      <c r="AC209" s="7"/>
      <c r="AD209" s="7"/>
      <c r="AE209" s="7"/>
      <c r="AF209" s="7"/>
      <c r="AG209" s="7"/>
      <c r="AH209" s="7"/>
      <c r="AI209" s="4"/>
      <c r="AJ209" s="4"/>
      <c r="AK209" s="4"/>
      <c r="AL209" s="4"/>
      <c r="AM209" s="4"/>
      <c r="AN209" s="4"/>
      <c r="AO209" s="4"/>
      <c r="AP209" s="4"/>
      <c r="AQ209" s="4"/>
      <c r="AR209" s="8"/>
      <c r="AS209" s="8"/>
      <c r="AT209" s="4"/>
      <c r="AU209" s="4"/>
      <c r="AV209" s="4"/>
      <c r="AW209" s="4"/>
      <c r="BM209" s="4"/>
      <c r="BN209" s="4"/>
    </row>
    <row r="210" spans="1:66" s="6" customFormat="1" ht="15.6" customHeight="1" x14ac:dyDescent="0.25">
      <c r="A210" s="20" t="s">
        <v>384</v>
      </c>
      <c r="B210" s="21" t="s">
        <v>11</v>
      </c>
      <c r="C210" s="24" t="s">
        <v>385</v>
      </c>
      <c r="D210" s="23">
        <f>+D211+D295+D285+D288</f>
        <v>3069157727.0099998</v>
      </c>
      <c r="E210" s="23">
        <f>+E211+E295+E285</f>
        <v>2196431248.8499999</v>
      </c>
      <c r="F210" s="23">
        <f>+F211+F295+F285</f>
        <v>2127772772.1300001</v>
      </c>
      <c r="G210" s="4"/>
      <c r="H210" s="3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5"/>
      <c r="W210" s="4"/>
      <c r="X210" s="4"/>
      <c r="Y210" s="4"/>
      <c r="Z210" s="4"/>
      <c r="AB210" s="67"/>
      <c r="AC210" s="7"/>
      <c r="AD210" s="7"/>
      <c r="AE210" s="7"/>
      <c r="AF210" s="7"/>
      <c r="AG210" s="7"/>
      <c r="AH210" s="7"/>
      <c r="AI210" s="4"/>
      <c r="AJ210" s="4"/>
      <c r="AK210" s="4"/>
      <c r="AL210" s="4"/>
      <c r="AM210" s="4"/>
      <c r="AN210" s="4"/>
      <c r="AO210" s="4"/>
      <c r="AP210" s="4"/>
      <c r="AQ210" s="4"/>
      <c r="AR210" s="8"/>
      <c r="AS210" s="8"/>
      <c r="AT210" s="4"/>
      <c r="AU210" s="4"/>
      <c r="AV210" s="4"/>
      <c r="AW210" s="4"/>
      <c r="BM210" s="4"/>
      <c r="BN210" s="4"/>
    </row>
    <row r="211" spans="1:66" s="6" customFormat="1" ht="30" customHeight="1" x14ac:dyDescent="0.25">
      <c r="A211" s="68" t="s">
        <v>386</v>
      </c>
      <c r="B211" s="21" t="s">
        <v>11</v>
      </c>
      <c r="C211" s="24" t="s">
        <v>387</v>
      </c>
      <c r="D211" s="23">
        <f>+D254+D212+D216+D276</f>
        <v>3068361778.8899999</v>
      </c>
      <c r="E211" s="23">
        <f>+E254+E212+E216+E276</f>
        <v>2196431248.8499999</v>
      </c>
      <c r="F211" s="23">
        <f>+F254+F212+F216+F276</f>
        <v>2127772772.1300001</v>
      </c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5"/>
      <c r="W211" s="4"/>
      <c r="X211" s="4"/>
      <c r="Y211" s="4"/>
      <c r="Z211" s="4"/>
      <c r="AC211" s="7"/>
      <c r="AD211" s="7"/>
      <c r="AE211" s="7"/>
      <c r="AF211" s="7"/>
      <c r="AG211" s="7"/>
      <c r="AH211" s="7"/>
      <c r="AI211" s="4"/>
      <c r="AJ211" s="4"/>
      <c r="AK211" s="4"/>
      <c r="AL211" s="4"/>
      <c r="AM211" s="4"/>
      <c r="AN211" s="4"/>
      <c r="AO211" s="4"/>
      <c r="AP211" s="4"/>
      <c r="AQ211" s="4"/>
      <c r="AR211" s="8"/>
      <c r="AS211" s="8"/>
      <c r="AT211" s="4"/>
      <c r="AU211" s="4"/>
      <c r="AV211" s="4"/>
      <c r="AW211" s="4"/>
      <c r="BM211" s="4"/>
      <c r="BN211" s="4"/>
    </row>
    <row r="212" spans="1:66" s="6" customFormat="1" ht="15.6" customHeight="1" x14ac:dyDescent="0.25">
      <c r="A212" s="68" t="s">
        <v>388</v>
      </c>
      <c r="B212" s="21" t="s">
        <v>11</v>
      </c>
      <c r="C212" s="24" t="s">
        <v>389</v>
      </c>
      <c r="D212" s="23">
        <f>+D213</f>
        <v>272982600</v>
      </c>
      <c r="E212" s="23">
        <f t="shared" ref="E212:F212" si="60">+E213</f>
        <v>44904800</v>
      </c>
      <c r="F212" s="23">
        <f t="shared" si="60"/>
        <v>46225700</v>
      </c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5"/>
      <c r="W212" s="4"/>
      <c r="X212" s="4"/>
      <c r="Y212" s="4"/>
      <c r="Z212" s="4"/>
      <c r="AC212" s="7"/>
      <c r="AD212" s="7"/>
      <c r="AE212" s="7"/>
      <c r="AF212" s="7"/>
      <c r="AG212" s="7"/>
      <c r="AH212" s="7"/>
      <c r="AI212" s="4"/>
      <c r="AJ212" s="4"/>
      <c r="AK212" s="4"/>
      <c r="AL212" s="4"/>
      <c r="AM212" s="4"/>
      <c r="AN212" s="4"/>
      <c r="AO212" s="4"/>
      <c r="AP212" s="4"/>
      <c r="AQ212" s="4"/>
      <c r="AR212" s="8"/>
      <c r="AS212" s="8"/>
      <c r="AT212" s="4"/>
      <c r="AU212" s="4"/>
      <c r="AV212" s="4"/>
      <c r="AW212" s="4"/>
      <c r="BM212" s="4"/>
      <c r="BN212" s="4"/>
    </row>
    <row r="213" spans="1:66" s="6" customFormat="1" ht="17.45" customHeight="1" x14ac:dyDescent="0.25">
      <c r="A213" s="69" t="s">
        <v>390</v>
      </c>
      <c r="B213" s="21" t="s">
        <v>11</v>
      </c>
      <c r="C213" s="43" t="s">
        <v>391</v>
      </c>
      <c r="D213" s="23">
        <f>+D214+D215</f>
        <v>272982600</v>
      </c>
      <c r="E213" s="23">
        <f t="shared" ref="E213:F213" si="61">+E214+E215</f>
        <v>44904800</v>
      </c>
      <c r="F213" s="23">
        <f t="shared" si="61"/>
        <v>46225700</v>
      </c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5"/>
      <c r="W213" s="4"/>
      <c r="X213" s="4"/>
      <c r="Y213" s="4"/>
      <c r="Z213" s="4"/>
      <c r="AC213" s="7"/>
      <c r="AD213" s="7"/>
      <c r="AE213" s="7"/>
      <c r="AF213" s="7"/>
      <c r="AG213" s="7"/>
      <c r="AH213" s="7"/>
      <c r="AI213" s="4"/>
      <c r="AJ213" s="4"/>
      <c r="AK213" s="4"/>
      <c r="AL213" s="4"/>
      <c r="AM213" s="4"/>
      <c r="AN213" s="4"/>
      <c r="AO213" s="4"/>
      <c r="AP213" s="4"/>
      <c r="AQ213" s="4"/>
      <c r="AR213" s="8"/>
      <c r="AS213" s="8"/>
      <c r="AT213" s="4"/>
      <c r="AU213" s="4"/>
      <c r="AV213" s="4"/>
      <c r="AW213" s="4"/>
      <c r="BM213" s="4"/>
      <c r="BN213" s="4"/>
    </row>
    <row r="214" spans="1:66" s="6" customFormat="1" ht="42" customHeight="1" x14ac:dyDescent="0.25">
      <c r="A214" s="69" t="s">
        <v>392</v>
      </c>
      <c r="B214" s="21" t="s">
        <v>393</v>
      </c>
      <c r="C214" s="24" t="s">
        <v>394</v>
      </c>
      <c r="D214" s="23">
        <v>99630000</v>
      </c>
      <c r="E214" s="23">
        <v>44904800</v>
      </c>
      <c r="F214" s="23">
        <v>46225700</v>
      </c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5"/>
      <c r="W214" s="4"/>
      <c r="X214" s="4"/>
      <c r="Y214" s="4"/>
      <c r="Z214" s="4"/>
      <c r="AC214" s="7"/>
      <c r="AD214" s="7"/>
      <c r="AE214" s="7"/>
      <c r="AF214" s="7"/>
      <c r="AG214" s="7"/>
      <c r="AH214" s="7"/>
      <c r="AI214" s="4"/>
      <c r="AJ214" s="4"/>
      <c r="AK214" s="4"/>
      <c r="AL214" s="4"/>
      <c r="AM214" s="4"/>
      <c r="AN214" s="4"/>
      <c r="AO214" s="4"/>
      <c r="AP214" s="4"/>
      <c r="AQ214" s="4"/>
      <c r="AR214" s="8"/>
      <c r="AS214" s="8"/>
      <c r="AT214" s="4"/>
      <c r="AU214" s="4"/>
      <c r="AV214" s="4"/>
      <c r="AW214" s="4"/>
      <c r="BM214" s="4"/>
      <c r="BN214" s="4"/>
    </row>
    <row r="215" spans="1:66" s="6" customFormat="1" ht="27" customHeight="1" x14ac:dyDescent="0.25">
      <c r="A215" s="69" t="s">
        <v>395</v>
      </c>
      <c r="B215" s="21" t="s">
        <v>393</v>
      </c>
      <c r="C215" s="24" t="s">
        <v>396</v>
      </c>
      <c r="D215" s="23">
        <f>149935800+23416800</f>
        <v>173352600</v>
      </c>
      <c r="E215" s="23">
        <v>0</v>
      </c>
      <c r="F215" s="23">
        <v>0</v>
      </c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5"/>
      <c r="W215" s="4"/>
      <c r="X215" s="4"/>
      <c r="Y215" s="4"/>
      <c r="Z215" s="4"/>
      <c r="AC215" s="7"/>
      <c r="AD215" s="7"/>
      <c r="AE215" s="7"/>
      <c r="AF215" s="7"/>
      <c r="AG215" s="7"/>
      <c r="AH215" s="7"/>
      <c r="AI215" s="4"/>
      <c r="AJ215" s="4"/>
      <c r="AK215" s="4"/>
      <c r="AL215" s="4"/>
      <c r="AM215" s="4"/>
      <c r="AN215" s="4"/>
      <c r="AO215" s="4"/>
      <c r="AP215" s="4"/>
      <c r="AQ215" s="4"/>
      <c r="AR215" s="8"/>
      <c r="AS215" s="8"/>
      <c r="AT215" s="4"/>
      <c r="AU215" s="4"/>
      <c r="AV215" s="4"/>
      <c r="AW215" s="4"/>
      <c r="BM215" s="4"/>
      <c r="BN215" s="4"/>
    </row>
    <row r="216" spans="1:66" s="6" customFormat="1" ht="25.15" customHeight="1" x14ac:dyDescent="0.25">
      <c r="A216" s="20" t="s">
        <v>397</v>
      </c>
      <c r="B216" s="21" t="s">
        <v>11</v>
      </c>
      <c r="C216" s="21" t="s">
        <v>398</v>
      </c>
      <c r="D216" s="23">
        <f>+D223+D233+D229+D221+D227+D225+D231+D217+D219</f>
        <v>651468778.88999999</v>
      </c>
      <c r="E216" s="23">
        <f t="shared" ref="E216:F216" si="62">+E223+E233+E229+E221+E227+E225+E231+E217+E219</f>
        <v>449097248.85000002</v>
      </c>
      <c r="F216" s="23">
        <f t="shared" si="62"/>
        <v>379163872.13</v>
      </c>
      <c r="G216" s="4"/>
      <c r="H216" s="3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5"/>
      <c r="W216" s="4"/>
      <c r="X216" s="4"/>
      <c r="Y216" s="4"/>
      <c r="Z216" s="4"/>
      <c r="AC216" s="7"/>
      <c r="AD216" s="7"/>
      <c r="AE216" s="7"/>
      <c r="AF216" s="7"/>
      <c r="AG216" s="7"/>
      <c r="AH216" s="7"/>
      <c r="AI216" s="4"/>
      <c r="AJ216" s="4"/>
      <c r="AK216" s="4"/>
      <c r="AL216" s="4"/>
      <c r="AM216" s="4"/>
      <c r="AN216" s="4"/>
      <c r="AO216" s="4"/>
      <c r="AP216" s="4"/>
      <c r="AQ216" s="4"/>
      <c r="AR216" s="8"/>
      <c r="AS216" s="8"/>
      <c r="AT216" s="4"/>
      <c r="AU216" s="4"/>
      <c r="AV216" s="4"/>
      <c r="AW216" s="4"/>
      <c r="BM216" s="4"/>
      <c r="BN216" s="4"/>
    </row>
    <row r="217" spans="1:66" s="6" customFormat="1" ht="94.9" customHeight="1" x14ac:dyDescent="0.25">
      <c r="A217" s="20" t="s">
        <v>399</v>
      </c>
      <c r="B217" s="21" t="s">
        <v>11</v>
      </c>
      <c r="C217" s="21" t="s">
        <v>400</v>
      </c>
      <c r="D217" s="23">
        <f>+D218</f>
        <v>104486500</v>
      </c>
      <c r="E217" s="23">
        <f t="shared" ref="E217:F217" si="63">+E218</f>
        <v>0</v>
      </c>
      <c r="F217" s="23">
        <f t="shared" si="63"/>
        <v>0</v>
      </c>
      <c r="G217" s="4"/>
      <c r="H217" s="3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5"/>
      <c r="W217" s="4"/>
      <c r="X217" s="4"/>
      <c r="Y217" s="4"/>
      <c r="Z217" s="4"/>
      <c r="AC217" s="7"/>
      <c r="AD217" s="7"/>
      <c r="AE217" s="7"/>
      <c r="AF217" s="7"/>
      <c r="AG217" s="7"/>
      <c r="AH217" s="7"/>
      <c r="AI217" s="4"/>
      <c r="AJ217" s="4"/>
      <c r="AK217" s="4"/>
      <c r="AL217" s="4"/>
      <c r="AM217" s="4"/>
      <c r="AN217" s="4"/>
      <c r="AO217" s="4"/>
      <c r="AP217" s="4"/>
      <c r="AQ217" s="4"/>
      <c r="AR217" s="8"/>
      <c r="AS217" s="8"/>
      <c r="AT217" s="4"/>
      <c r="AU217" s="4"/>
      <c r="AV217" s="4"/>
      <c r="AW217" s="4"/>
      <c r="BM217" s="4"/>
      <c r="BN217" s="4"/>
    </row>
    <row r="218" spans="1:66" s="6" customFormat="1" ht="97.15" customHeight="1" x14ac:dyDescent="0.25">
      <c r="A218" s="20" t="s">
        <v>401</v>
      </c>
      <c r="B218" s="21" t="s">
        <v>108</v>
      </c>
      <c r="C218" s="21" t="s">
        <v>402</v>
      </c>
      <c r="D218" s="23">
        <f>140690500-36204000</f>
        <v>104486500</v>
      </c>
      <c r="E218" s="23">
        <v>0</v>
      </c>
      <c r="F218" s="23">
        <v>0</v>
      </c>
      <c r="G218" s="4"/>
      <c r="H218" s="3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5"/>
      <c r="W218" s="4"/>
      <c r="X218" s="4"/>
      <c r="Y218" s="4"/>
      <c r="Z218" s="4"/>
      <c r="AC218" s="7"/>
      <c r="AD218" s="7"/>
      <c r="AE218" s="7"/>
      <c r="AF218" s="7"/>
      <c r="AG218" s="7"/>
      <c r="AH218" s="7"/>
      <c r="AI218" s="4"/>
      <c r="AJ218" s="4"/>
      <c r="AK218" s="4"/>
      <c r="AL218" s="4"/>
      <c r="AM218" s="4"/>
      <c r="AN218" s="4"/>
      <c r="AO218" s="4"/>
      <c r="AP218" s="4"/>
      <c r="AQ218" s="4"/>
      <c r="AR218" s="8"/>
      <c r="AS218" s="8"/>
      <c r="AT218" s="4"/>
      <c r="AU218" s="4"/>
      <c r="AV218" s="4"/>
      <c r="AW218" s="4"/>
      <c r="BM218" s="4"/>
      <c r="BN218" s="4"/>
    </row>
    <row r="219" spans="1:66" s="6" customFormat="1" ht="56.45" customHeight="1" x14ac:dyDescent="0.25">
      <c r="A219" s="20" t="s">
        <v>403</v>
      </c>
      <c r="B219" s="21" t="s">
        <v>11</v>
      </c>
      <c r="C219" s="21" t="s">
        <v>404</v>
      </c>
      <c r="D219" s="23">
        <f>+D220</f>
        <v>87913</v>
      </c>
      <c r="E219" s="23">
        <f t="shared" ref="E219:F219" si="64">+E220</f>
        <v>0</v>
      </c>
      <c r="F219" s="23">
        <f t="shared" si="64"/>
        <v>0</v>
      </c>
      <c r="G219" s="4"/>
      <c r="H219" s="3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5"/>
      <c r="W219" s="4"/>
      <c r="X219" s="4"/>
      <c r="Y219" s="4"/>
      <c r="Z219" s="4"/>
      <c r="AC219" s="7"/>
      <c r="AD219" s="7"/>
      <c r="AE219" s="7"/>
      <c r="AF219" s="7"/>
      <c r="AG219" s="7"/>
      <c r="AH219" s="7"/>
      <c r="AI219" s="4"/>
      <c r="AJ219" s="4"/>
      <c r="AK219" s="4"/>
      <c r="AL219" s="4"/>
      <c r="AM219" s="4"/>
      <c r="AN219" s="4"/>
      <c r="AO219" s="4"/>
      <c r="AP219" s="4"/>
      <c r="AQ219" s="4"/>
      <c r="AR219" s="8"/>
      <c r="AS219" s="8"/>
      <c r="AT219" s="4"/>
      <c r="AU219" s="4"/>
      <c r="AV219" s="4"/>
      <c r="AW219" s="4"/>
      <c r="BM219" s="4"/>
      <c r="BN219" s="4"/>
    </row>
    <row r="220" spans="1:66" s="6" customFormat="1" ht="61.15" customHeight="1" x14ac:dyDescent="0.25">
      <c r="A220" s="70" t="s">
        <v>405</v>
      </c>
      <c r="B220" s="21" t="s">
        <v>406</v>
      </c>
      <c r="C220" s="21" t="s">
        <v>407</v>
      </c>
      <c r="D220" s="23">
        <v>87913</v>
      </c>
      <c r="E220" s="23">
        <v>0</v>
      </c>
      <c r="F220" s="23">
        <v>0</v>
      </c>
      <c r="G220" s="4"/>
      <c r="H220" s="3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5"/>
      <c r="W220" s="4"/>
      <c r="X220" s="4"/>
      <c r="Y220" s="4"/>
      <c r="Z220" s="4"/>
      <c r="AC220" s="7"/>
      <c r="AD220" s="7"/>
      <c r="AE220" s="7"/>
      <c r="AF220" s="7"/>
      <c r="AG220" s="7"/>
      <c r="AH220" s="7"/>
      <c r="AI220" s="4"/>
      <c r="AJ220" s="4"/>
      <c r="AK220" s="4"/>
      <c r="AL220" s="4"/>
      <c r="AM220" s="4"/>
      <c r="AN220" s="4"/>
      <c r="AO220" s="4"/>
      <c r="AP220" s="4"/>
      <c r="AQ220" s="4"/>
      <c r="AR220" s="8"/>
      <c r="AS220" s="8"/>
      <c r="AT220" s="4"/>
      <c r="AU220" s="4"/>
      <c r="AV220" s="4"/>
      <c r="AW220" s="4"/>
      <c r="BM220" s="4"/>
      <c r="BN220" s="4"/>
    </row>
    <row r="221" spans="1:66" s="6" customFormat="1" ht="53.45" customHeight="1" x14ac:dyDescent="0.25">
      <c r="A221" s="71" t="s">
        <v>408</v>
      </c>
      <c r="B221" s="72" t="s">
        <v>11</v>
      </c>
      <c r="C221" s="72" t="s">
        <v>409</v>
      </c>
      <c r="D221" s="23">
        <f t="shared" ref="D221:F221" si="65">+D222</f>
        <v>45152700</v>
      </c>
      <c r="E221" s="23">
        <f t="shared" si="65"/>
        <v>62897500</v>
      </c>
      <c r="F221" s="23">
        <f t="shared" si="65"/>
        <v>64690300</v>
      </c>
      <c r="G221" s="4"/>
      <c r="H221" s="3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5"/>
      <c r="W221" s="4"/>
      <c r="X221" s="4"/>
      <c r="Y221" s="4"/>
      <c r="Z221" s="4"/>
      <c r="AC221" s="7"/>
      <c r="AD221" s="7"/>
      <c r="AE221" s="7"/>
      <c r="AF221" s="7"/>
      <c r="AG221" s="7"/>
      <c r="AH221" s="7"/>
      <c r="AI221" s="4"/>
      <c r="AJ221" s="4"/>
      <c r="AK221" s="4"/>
      <c r="AL221" s="4"/>
      <c r="AM221" s="4"/>
      <c r="AN221" s="4"/>
      <c r="AO221" s="4"/>
      <c r="AP221" s="4"/>
      <c r="AQ221" s="4"/>
      <c r="AR221" s="8"/>
      <c r="AS221" s="8"/>
      <c r="AT221" s="4"/>
      <c r="AU221" s="4"/>
      <c r="AV221" s="4"/>
      <c r="AW221" s="4"/>
      <c r="BM221" s="4"/>
      <c r="BN221" s="4"/>
    </row>
    <row r="222" spans="1:66" s="6" customFormat="1" ht="55.9" customHeight="1" x14ac:dyDescent="0.25">
      <c r="A222" s="71" t="s">
        <v>410</v>
      </c>
      <c r="B222" s="72" t="s">
        <v>411</v>
      </c>
      <c r="C222" s="72" t="s">
        <v>412</v>
      </c>
      <c r="D222" s="23">
        <f>63328800-1004200-10003900-7168000</f>
        <v>45152700</v>
      </c>
      <c r="E222" s="23">
        <f>169800+62727700</f>
        <v>62897500</v>
      </c>
      <c r="F222" s="23">
        <f>26000+64664300</f>
        <v>64690300</v>
      </c>
      <c r="G222" s="4"/>
      <c r="H222" s="3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5"/>
      <c r="W222" s="4"/>
      <c r="X222" s="4"/>
      <c r="Y222" s="4"/>
      <c r="Z222" s="4"/>
      <c r="AC222" s="7"/>
      <c r="AD222" s="7"/>
      <c r="AE222" s="7"/>
      <c r="AF222" s="7"/>
      <c r="AG222" s="7"/>
      <c r="AH222" s="7"/>
      <c r="AI222" s="4"/>
      <c r="AJ222" s="4"/>
      <c r="AK222" s="4"/>
      <c r="AL222" s="4"/>
      <c r="AM222" s="4"/>
      <c r="AN222" s="4"/>
      <c r="AO222" s="4"/>
      <c r="AP222" s="4"/>
      <c r="AQ222" s="4"/>
      <c r="AR222" s="8"/>
      <c r="AS222" s="8"/>
      <c r="AT222" s="4"/>
      <c r="AU222" s="4"/>
      <c r="AV222" s="4"/>
      <c r="AW222" s="4"/>
      <c r="BM222" s="4"/>
      <c r="BN222" s="4"/>
    </row>
    <row r="223" spans="1:66" s="6" customFormat="1" ht="55.15" customHeight="1" x14ac:dyDescent="0.25">
      <c r="A223" s="73" t="s">
        <v>413</v>
      </c>
      <c r="B223" s="62" t="s">
        <v>11</v>
      </c>
      <c r="C223" s="62" t="s">
        <v>414</v>
      </c>
      <c r="D223" s="23">
        <f>D224</f>
        <v>3602400</v>
      </c>
      <c r="E223" s="23">
        <f>E224</f>
        <v>3421148.85</v>
      </c>
      <c r="F223" s="23">
        <f>F224</f>
        <v>3776272.13</v>
      </c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5"/>
      <c r="W223" s="4"/>
      <c r="X223" s="4"/>
      <c r="Y223" s="4"/>
      <c r="Z223" s="4"/>
      <c r="AC223" s="7"/>
      <c r="AD223" s="7"/>
      <c r="AE223" s="7"/>
      <c r="AF223" s="7"/>
      <c r="AG223" s="7"/>
      <c r="AH223" s="7"/>
      <c r="AI223" s="4"/>
      <c r="AJ223" s="4"/>
      <c r="AK223" s="4"/>
      <c r="AL223" s="4"/>
      <c r="AM223" s="4"/>
      <c r="AN223" s="4"/>
      <c r="AO223" s="4"/>
      <c r="AP223" s="4"/>
      <c r="AQ223" s="4"/>
      <c r="AR223" s="8"/>
      <c r="AS223" s="8"/>
      <c r="AT223" s="4"/>
      <c r="AU223" s="4"/>
      <c r="AV223" s="4"/>
      <c r="AW223" s="4"/>
      <c r="BM223" s="4"/>
      <c r="BN223" s="4"/>
    </row>
    <row r="224" spans="1:66" s="6" customFormat="1" ht="57.6" customHeight="1" x14ac:dyDescent="0.25">
      <c r="A224" s="73" t="s">
        <v>415</v>
      </c>
      <c r="B224" s="21" t="s">
        <v>222</v>
      </c>
      <c r="C224" s="21" t="s">
        <v>416</v>
      </c>
      <c r="D224" s="23">
        <v>3602400</v>
      </c>
      <c r="E224" s="23">
        <f>3421200-51.15</f>
        <v>3421148.85</v>
      </c>
      <c r="F224" s="23">
        <f>3776300-27.87</f>
        <v>3776272.13</v>
      </c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5"/>
      <c r="W224" s="4"/>
      <c r="X224" s="4"/>
      <c r="Y224" s="4"/>
      <c r="Z224" s="4"/>
      <c r="AC224" s="7"/>
      <c r="AD224" s="7"/>
      <c r="AE224" s="7"/>
      <c r="AF224" s="7"/>
      <c r="AG224" s="7"/>
      <c r="AH224" s="7"/>
      <c r="AI224" s="4"/>
      <c r="AJ224" s="4"/>
      <c r="AK224" s="4"/>
      <c r="AL224" s="4"/>
      <c r="AM224" s="4"/>
      <c r="AN224" s="4"/>
      <c r="AO224" s="4"/>
      <c r="AP224" s="4"/>
      <c r="AQ224" s="4"/>
      <c r="AR224" s="8"/>
      <c r="AS224" s="8"/>
      <c r="AT224" s="4"/>
      <c r="AU224" s="4"/>
      <c r="AV224" s="4"/>
      <c r="AW224" s="4"/>
      <c r="BM224" s="4"/>
      <c r="BN224" s="4"/>
    </row>
    <row r="225" spans="1:66" s="6" customFormat="1" ht="31.9" customHeight="1" x14ac:dyDescent="0.25">
      <c r="A225" s="73" t="s">
        <v>417</v>
      </c>
      <c r="B225" s="21" t="s">
        <v>11</v>
      </c>
      <c r="C225" s="21" t="s">
        <v>418</v>
      </c>
      <c r="D225" s="23">
        <f>+D226</f>
        <v>12954471.890000001</v>
      </c>
      <c r="E225" s="23">
        <f t="shared" ref="E225:F225" si="66">+E226</f>
        <v>0</v>
      </c>
      <c r="F225" s="23">
        <f t="shared" si="66"/>
        <v>0</v>
      </c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5"/>
      <c r="W225" s="4"/>
      <c r="X225" s="4"/>
      <c r="Y225" s="4"/>
      <c r="Z225" s="4"/>
      <c r="AC225" s="7"/>
      <c r="AD225" s="7"/>
      <c r="AE225" s="7"/>
      <c r="AF225" s="7"/>
      <c r="AG225" s="7"/>
      <c r="AH225" s="7"/>
      <c r="AI225" s="4"/>
      <c r="AJ225" s="4"/>
      <c r="AK225" s="4"/>
      <c r="AL225" s="4"/>
      <c r="AM225" s="4"/>
      <c r="AN225" s="4"/>
      <c r="AO225" s="4"/>
      <c r="AP225" s="4"/>
      <c r="AQ225" s="4"/>
      <c r="AR225" s="8"/>
      <c r="AS225" s="8"/>
      <c r="AT225" s="4"/>
      <c r="AU225" s="4"/>
      <c r="AV225" s="4"/>
      <c r="AW225" s="4"/>
      <c r="BM225" s="4"/>
      <c r="BN225" s="4"/>
    </row>
    <row r="226" spans="1:66" s="6" customFormat="1" ht="30" customHeight="1" x14ac:dyDescent="0.25">
      <c r="A226" s="73" t="s">
        <v>419</v>
      </c>
      <c r="B226" s="21" t="s">
        <v>406</v>
      </c>
      <c r="C226" s="21" t="s">
        <v>420</v>
      </c>
      <c r="D226" s="23">
        <v>12954471.890000001</v>
      </c>
      <c r="E226" s="23">
        <v>0</v>
      </c>
      <c r="F226" s="23">
        <v>0</v>
      </c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5"/>
      <c r="W226" s="4"/>
      <c r="X226" s="4"/>
      <c r="Y226" s="4"/>
      <c r="Z226" s="4"/>
      <c r="AC226" s="7"/>
      <c r="AD226" s="7"/>
      <c r="AE226" s="7"/>
      <c r="AF226" s="7"/>
      <c r="AG226" s="7"/>
      <c r="AH226" s="7"/>
      <c r="AI226" s="4"/>
      <c r="AJ226" s="4"/>
      <c r="AK226" s="4"/>
      <c r="AL226" s="4"/>
      <c r="AM226" s="4"/>
      <c r="AN226" s="4"/>
      <c r="AO226" s="4"/>
      <c r="AP226" s="4"/>
      <c r="AQ226" s="4"/>
      <c r="AR226" s="8"/>
      <c r="AS226" s="8"/>
      <c r="AT226" s="4"/>
      <c r="AU226" s="4"/>
      <c r="AV226" s="4"/>
      <c r="AW226" s="4"/>
      <c r="BM226" s="4"/>
      <c r="BN226" s="4"/>
    </row>
    <row r="227" spans="1:66" s="6" customFormat="1" ht="17.45" customHeight="1" x14ac:dyDescent="0.25">
      <c r="A227" s="73" t="s">
        <v>421</v>
      </c>
      <c r="B227" s="21" t="s">
        <v>11</v>
      </c>
      <c r="C227" s="21" t="s">
        <v>422</v>
      </c>
      <c r="D227" s="23">
        <f t="shared" ref="D227:F227" si="67">+D228</f>
        <v>15089085.009999998</v>
      </c>
      <c r="E227" s="23">
        <f t="shared" si="67"/>
        <v>534000</v>
      </c>
      <c r="F227" s="23">
        <f t="shared" si="67"/>
        <v>534000</v>
      </c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5"/>
      <c r="W227" s="4"/>
      <c r="X227" s="4"/>
      <c r="Y227" s="4"/>
      <c r="Z227" s="4"/>
      <c r="AC227" s="7"/>
      <c r="AD227" s="7"/>
      <c r="AE227" s="7"/>
      <c r="AF227" s="7"/>
      <c r="AG227" s="7"/>
      <c r="AH227" s="7"/>
      <c r="AI227" s="4"/>
      <c r="AJ227" s="4"/>
      <c r="AK227" s="4"/>
      <c r="AL227" s="4"/>
      <c r="AM227" s="4"/>
      <c r="AN227" s="4"/>
      <c r="AO227" s="4"/>
      <c r="AP227" s="4"/>
      <c r="AQ227" s="4"/>
      <c r="AR227" s="8"/>
      <c r="AS227" s="8"/>
      <c r="AT227" s="4"/>
      <c r="AU227" s="4"/>
      <c r="AV227" s="4"/>
      <c r="AW227" s="4"/>
      <c r="BM227" s="4"/>
      <c r="BN227" s="4"/>
    </row>
    <row r="228" spans="1:66" s="6" customFormat="1" ht="31.15" customHeight="1" x14ac:dyDescent="0.25">
      <c r="A228" s="73" t="s">
        <v>423</v>
      </c>
      <c r="B228" s="21" t="s">
        <v>222</v>
      </c>
      <c r="C228" s="21" t="s">
        <v>424</v>
      </c>
      <c r="D228" s="23">
        <f>534000+13010000-0.01+5105385.02-3560300</f>
        <v>15089085.009999998</v>
      </c>
      <c r="E228" s="23">
        <v>534000</v>
      </c>
      <c r="F228" s="23">
        <v>534000</v>
      </c>
      <c r="G228" s="3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5"/>
      <c r="W228" s="4"/>
      <c r="X228" s="4"/>
      <c r="Y228" s="4"/>
      <c r="Z228" s="4"/>
      <c r="AC228" s="7"/>
      <c r="AD228" s="7"/>
      <c r="AE228" s="7"/>
      <c r="AF228" s="7"/>
      <c r="AG228" s="7"/>
      <c r="AH228" s="7"/>
      <c r="AI228" s="4"/>
      <c r="AJ228" s="4"/>
      <c r="AK228" s="4"/>
      <c r="AL228" s="4"/>
      <c r="AM228" s="4"/>
      <c r="AN228" s="4"/>
      <c r="AO228" s="4"/>
      <c r="AP228" s="4"/>
      <c r="AQ228" s="4"/>
      <c r="AR228" s="8"/>
      <c r="AS228" s="8"/>
      <c r="AT228" s="4"/>
      <c r="AU228" s="4"/>
      <c r="AV228" s="4"/>
      <c r="AW228" s="4"/>
      <c r="BM228" s="4"/>
      <c r="BN228" s="4"/>
    </row>
    <row r="229" spans="1:66" s="6" customFormat="1" ht="25.5" x14ac:dyDescent="0.25">
      <c r="A229" s="55" t="s">
        <v>425</v>
      </c>
      <c r="B229" s="21" t="s">
        <v>11</v>
      </c>
      <c r="C229" s="21" t="s">
        <v>426</v>
      </c>
      <c r="D229" s="23">
        <f t="shared" ref="D229:F229" si="68">+D230</f>
        <v>36109105.57</v>
      </c>
      <c r="E229" s="23">
        <f t="shared" si="68"/>
        <v>0</v>
      </c>
      <c r="F229" s="23">
        <f t="shared" si="68"/>
        <v>0</v>
      </c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5"/>
      <c r="W229" s="4"/>
      <c r="X229" s="4"/>
      <c r="Y229" s="4"/>
      <c r="Z229" s="4"/>
      <c r="AC229" s="7"/>
      <c r="AD229" s="7"/>
      <c r="AE229" s="7"/>
      <c r="AF229" s="7"/>
      <c r="AG229" s="7"/>
      <c r="AH229" s="7"/>
      <c r="AI229" s="4"/>
      <c r="AJ229" s="4"/>
      <c r="AK229" s="4"/>
      <c r="AL229" s="4"/>
      <c r="AM229" s="4"/>
      <c r="AN229" s="4"/>
      <c r="AO229" s="4"/>
      <c r="AP229" s="4"/>
      <c r="AQ229" s="4"/>
      <c r="AR229" s="8"/>
      <c r="AS229" s="8"/>
      <c r="AT229" s="4"/>
      <c r="AU229" s="4"/>
      <c r="AV229" s="4"/>
      <c r="AW229" s="4"/>
      <c r="BM229" s="4"/>
      <c r="BN229" s="4"/>
    </row>
    <row r="230" spans="1:66" s="6" customFormat="1" ht="29.45" customHeight="1" x14ac:dyDescent="0.25">
      <c r="A230" s="73" t="s">
        <v>427</v>
      </c>
      <c r="B230" s="21" t="s">
        <v>108</v>
      </c>
      <c r="C230" s="21" t="s">
        <v>428</v>
      </c>
      <c r="D230" s="23">
        <f>37375800-1009368.41-257326.02</f>
        <v>36109105.57</v>
      </c>
      <c r="E230" s="23">
        <v>0</v>
      </c>
      <c r="F230" s="23">
        <v>0</v>
      </c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5"/>
      <c r="W230" s="4"/>
      <c r="X230" s="4"/>
      <c r="Y230" s="4"/>
      <c r="Z230" s="4"/>
      <c r="AC230" s="7"/>
      <c r="AD230" s="7"/>
      <c r="AE230" s="7"/>
      <c r="AF230" s="7"/>
      <c r="AG230" s="7"/>
      <c r="AH230" s="7"/>
      <c r="AI230" s="4"/>
      <c r="AJ230" s="4"/>
      <c r="AK230" s="4"/>
      <c r="AL230" s="4"/>
      <c r="AM230" s="4"/>
      <c r="AN230" s="4"/>
      <c r="AO230" s="4"/>
      <c r="AP230" s="4"/>
      <c r="AQ230" s="4"/>
      <c r="AR230" s="8"/>
      <c r="AS230" s="8"/>
      <c r="AT230" s="4"/>
      <c r="AU230" s="4"/>
      <c r="AV230" s="4"/>
      <c r="AW230" s="4"/>
      <c r="BM230" s="4"/>
      <c r="BN230" s="4"/>
    </row>
    <row r="231" spans="1:66" s="6" customFormat="1" ht="29.45" customHeight="1" x14ac:dyDescent="0.25">
      <c r="A231" s="73" t="s">
        <v>429</v>
      </c>
      <c r="B231" s="21" t="s">
        <v>11</v>
      </c>
      <c r="C231" s="21" t="s">
        <v>430</v>
      </c>
      <c r="D231" s="23">
        <f>+D232</f>
        <v>0</v>
      </c>
      <c r="E231" s="23">
        <f t="shared" ref="E231:F231" si="69">+E232</f>
        <v>51259200</v>
      </c>
      <c r="F231" s="23">
        <f t="shared" si="69"/>
        <v>0</v>
      </c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5"/>
      <c r="W231" s="4"/>
      <c r="X231" s="4"/>
      <c r="Y231" s="4"/>
      <c r="Z231" s="4"/>
      <c r="AC231" s="7"/>
      <c r="AD231" s="7"/>
      <c r="AE231" s="7"/>
      <c r="AF231" s="7"/>
      <c r="AG231" s="7"/>
      <c r="AH231" s="7"/>
      <c r="AI231" s="4"/>
      <c r="AJ231" s="4"/>
      <c r="AK231" s="4"/>
      <c r="AL231" s="4"/>
      <c r="AM231" s="4"/>
      <c r="AN231" s="4"/>
      <c r="AO231" s="4"/>
      <c r="AP231" s="4"/>
      <c r="AQ231" s="4"/>
      <c r="AR231" s="8"/>
      <c r="AS231" s="8"/>
      <c r="AT231" s="4"/>
      <c r="AU231" s="4"/>
      <c r="AV231" s="4"/>
      <c r="AW231" s="4"/>
      <c r="BM231" s="4"/>
      <c r="BN231" s="4"/>
    </row>
    <row r="232" spans="1:66" s="6" customFormat="1" ht="29.45" customHeight="1" x14ac:dyDescent="0.25">
      <c r="A232" s="73" t="s">
        <v>431</v>
      </c>
      <c r="B232" s="21" t="s">
        <v>411</v>
      </c>
      <c r="C232" s="21" t="s">
        <v>432</v>
      </c>
      <c r="D232" s="23">
        <v>0</v>
      </c>
      <c r="E232" s="23">
        <v>51259200</v>
      </c>
      <c r="F232" s="23">
        <v>0</v>
      </c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5"/>
      <c r="W232" s="4"/>
      <c r="X232" s="4"/>
      <c r="Y232" s="4"/>
      <c r="Z232" s="4"/>
      <c r="AC232" s="7"/>
      <c r="AD232" s="7"/>
      <c r="AE232" s="7"/>
      <c r="AF232" s="7"/>
      <c r="AG232" s="7"/>
      <c r="AH232" s="7"/>
      <c r="AI232" s="4"/>
      <c r="AJ232" s="4"/>
      <c r="AK232" s="4"/>
      <c r="AL232" s="4"/>
      <c r="AM232" s="4"/>
      <c r="AN232" s="4"/>
      <c r="AO232" s="4"/>
      <c r="AP232" s="4"/>
      <c r="AQ232" s="4"/>
      <c r="AR232" s="8"/>
      <c r="AS232" s="8"/>
      <c r="AT232" s="4"/>
      <c r="AU232" s="4"/>
      <c r="AV232" s="4"/>
      <c r="AW232" s="4"/>
      <c r="BM232" s="4"/>
      <c r="BN232" s="4"/>
    </row>
    <row r="233" spans="1:66" s="6" customFormat="1" ht="15.6" customHeight="1" x14ac:dyDescent="0.25">
      <c r="A233" s="20" t="s">
        <v>433</v>
      </c>
      <c r="B233" s="21" t="s">
        <v>11</v>
      </c>
      <c r="C233" s="56" t="s">
        <v>434</v>
      </c>
      <c r="D233" s="23">
        <f>+D234</f>
        <v>433986603.42000002</v>
      </c>
      <c r="E233" s="23">
        <f>+E234</f>
        <v>330985400</v>
      </c>
      <c r="F233" s="23">
        <f>+F234</f>
        <v>310163300</v>
      </c>
      <c r="G233" s="4"/>
      <c r="H233" s="34"/>
      <c r="I233" s="34"/>
      <c r="J233" s="3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5"/>
      <c r="W233" s="4"/>
      <c r="X233" s="4"/>
      <c r="Y233" s="4"/>
      <c r="Z233" s="4"/>
      <c r="AC233" s="7"/>
      <c r="AD233" s="7"/>
      <c r="AE233" s="7"/>
      <c r="AF233" s="7"/>
      <c r="AG233" s="7"/>
      <c r="AH233" s="7"/>
      <c r="AI233" s="4"/>
      <c r="AJ233" s="4"/>
      <c r="AK233" s="4"/>
      <c r="AL233" s="4"/>
      <c r="AM233" s="4"/>
      <c r="AN233" s="4"/>
      <c r="AO233" s="4"/>
      <c r="AP233" s="4"/>
      <c r="AQ233" s="4"/>
      <c r="AR233" s="8"/>
      <c r="AS233" s="8"/>
      <c r="AT233" s="4"/>
      <c r="AU233" s="4"/>
      <c r="AV233" s="4"/>
      <c r="AW233" s="4"/>
      <c r="BM233" s="4"/>
      <c r="BN233" s="4"/>
    </row>
    <row r="234" spans="1:66" s="6" customFormat="1" ht="19.899999999999999" customHeight="1" x14ac:dyDescent="0.25">
      <c r="A234" s="20" t="s">
        <v>435</v>
      </c>
      <c r="B234" s="21" t="s">
        <v>11</v>
      </c>
      <c r="C234" s="56" t="s">
        <v>436</v>
      </c>
      <c r="D234" s="23">
        <f>+D236+D237+D238+D239+D240+D241+D246+D250+D251+D252+D245+D235+D253+D242+D243+D244+D247+D248+D249</f>
        <v>433986603.42000002</v>
      </c>
      <c r="E234" s="23">
        <f t="shared" ref="E234:F234" si="70">+E236+E237+E238+E239+E240+E241+E246+E250+E251+E252+E245+E235+E253+E242+E243+E244+E247+E248+E249</f>
        <v>330985400</v>
      </c>
      <c r="F234" s="23">
        <f t="shared" si="70"/>
        <v>310163300</v>
      </c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5"/>
      <c r="W234" s="4"/>
      <c r="X234" s="4"/>
      <c r="Y234" s="4"/>
      <c r="Z234" s="4"/>
      <c r="AC234" s="7"/>
      <c r="AD234" s="7"/>
      <c r="AE234" s="7"/>
      <c r="AF234" s="7"/>
      <c r="AG234" s="7"/>
      <c r="AH234" s="7"/>
      <c r="AI234" s="4"/>
      <c r="AJ234" s="4"/>
      <c r="AK234" s="4"/>
      <c r="AL234" s="4"/>
      <c r="AM234" s="4"/>
      <c r="AN234" s="4"/>
      <c r="AO234" s="4"/>
      <c r="AP234" s="4"/>
      <c r="AQ234" s="4"/>
      <c r="AR234" s="8"/>
      <c r="AS234" s="8"/>
      <c r="AT234" s="4"/>
      <c r="AU234" s="4"/>
      <c r="AV234" s="4"/>
      <c r="AW234" s="4"/>
      <c r="BM234" s="4"/>
      <c r="BN234" s="4"/>
    </row>
    <row r="235" spans="1:66" s="6" customFormat="1" ht="56.45" customHeight="1" x14ac:dyDescent="0.25">
      <c r="A235" s="38" t="s">
        <v>437</v>
      </c>
      <c r="B235" s="21" t="s">
        <v>222</v>
      </c>
      <c r="C235" s="56" t="s">
        <v>436</v>
      </c>
      <c r="D235" s="23">
        <f>30967600+11183300-4747700</f>
        <v>37403200</v>
      </c>
      <c r="E235" s="23">
        <v>90044700</v>
      </c>
      <c r="F235" s="23">
        <v>90044700</v>
      </c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5"/>
      <c r="W235" s="4"/>
      <c r="X235" s="4"/>
      <c r="Y235" s="4"/>
      <c r="Z235" s="4"/>
      <c r="AC235" s="7"/>
      <c r="AD235" s="7"/>
      <c r="AE235" s="7"/>
      <c r="AF235" s="7"/>
      <c r="AG235" s="7"/>
      <c r="AH235" s="7"/>
      <c r="AI235" s="4"/>
      <c r="AJ235" s="4"/>
      <c r="AK235" s="4"/>
      <c r="AL235" s="4"/>
      <c r="AM235" s="4"/>
      <c r="AN235" s="4"/>
      <c r="AO235" s="4"/>
      <c r="AP235" s="4"/>
      <c r="AQ235" s="4"/>
      <c r="AR235" s="8"/>
      <c r="AS235" s="8"/>
      <c r="AT235" s="4"/>
      <c r="AU235" s="4"/>
      <c r="AV235" s="4"/>
      <c r="AW235" s="4"/>
      <c r="BM235" s="4"/>
      <c r="BN235" s="4"/>
    </row>
    <row r="236" spans="1:66" s="6" customFormat="1" ht="66.599999999999994" customHeight="1" x14ac:dyDescent="0.25">
      <c r="A236" s="55" t="s">
        <v>438</v>
      </c>
      <c r="B236" s="21" t="s">
        <v>411</v>
      </c>
      <c r="C236" s="56" t="s">
        <v>436</v>
      </c>
      <c r="D236" s="74">
        <f>681900+470400</f>
        <v>1152300</v>
      </c>
      <c r="E236" s="74">
        <v>6953500</v>
      </c>
      <c r="F236" s="74">
        <v>24928400</v>
      </c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5"/>
      <c r="W236" s="4"/>
      <c r="X236" s="4"/>
      <c r="Y236" s="4"/>
      <c r="Z236" s="4"/>
      <c r="AC236" s="7"/>
      <c r="AD236" s="7"/>
      <c r="AE236" s="7"/>
      <c r="AF236" s="7"/>
      <c r="AG236" s="7"/>
      <c r="AH236" s="7"/>
      <c r="AI236" s="4"/>
      <c r="AJ236" s="4"/>
      <c r="AK236" s="4"/>
      <c r="AL236" s="4"/>
      <c r="AM236" s="4"/>
      <c r="AN236" s="4"/>
      <c r="AO236" s="4"/>
      <c r="AP236" s="4"/>
      <c r="AQ236" s="4"/>
      <c r="AR236" s="8"/>
      <c r="AS236" s="8"/>
      <c r="AT236" s="4"/>
      <c r="AU236" s="4"/>
      <c r="AV236" s="4"/>
      <c r="AW236" s="4"/>
      <c r="BM236" s="4"/>
      <c r="BN236" s="4"/>
    </row>
    <row r="237" spans="1:66" s="6" customFormat="1" ht="76.5" customHeight="1" x14ac:dyDescent="0.25">
      <c r="A237" s="55" t="s">
        <v>439</v>
      </c>
      <c r="B237" s="21" t="s">
        <v>411</v>
      </c>
      <c r="C237" s="56" t="s">
        <v>436</v>
      </c>
      <c r="D237" s="23">
        <f>2505600+375800</f>
        <v>2881400</v>
      </c>
      <c r="E237" s="23">
        <v>2563200</v>
      </c>
      <c r="F237" s="23">
        <v>2563200</v>
      </c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5"/>
      <c r="W237" s="4"/>
      <c r="X237" s="4"/>
      <c r="Y237" s="4"/>
      <c r="Z237" s="4"/>
      <c r="AC237" s="7"/>
      <c r="AD237" s="7"/>
      <c r="AE237" s="7"/>
      <c r="AF237" s="7"/>
      <c r="AG237" s="7"/>
      <c r="AH237" s="7"/>
      <c r="AI237" s="4"/>
      <c r="AJ237" s="4"/>
      <c r="AK237" s="4"/>
      <c r="AL237" s="4"/>
      <c r="AM237" s="4"/>
      <c r="AN237" s="4"/>
      <c r="AO237" s="4"/>
      <c r="AP237" s="4"/>
      <c r="AQ237" s="4"/>
      <c r="AR237" s="8"/>
      <c r="AS237" s="8"/>
      <c r="AT237" s="4"/>
      <c r="AU237" s="4"/>
      <c r="AV237" s="4"/>
      <c r="AW237" s="4"/>
      <c r="BM237" s="4"/>
      <c r="BN237" s="4"/>
    </row>
    <row r="238" spans="1:66" s="6" customFormat="1" ht="74.25" customHeight="1" x14ac:dyDescent="0.25">
      <c r="A238" s="38" t="s">
        <v>440</v>
      </c>
      <c r="B238" s="21" t="s">
        <v>411</v>
      </c>
      <c r="C238" s="56" t="s">
        <v>436</v>
      </c>
      <c r="D238" s="23">
        <f>4745500+6937500</f>
        <v>11683000</v>
      </c>
      <c r="E238" s="23">
        <f>10885400+181500</f>
        <v>11066900</v>
      </c>
      <c r="F238" s="23">
        <f>171900+10305700</f>
        <v>10477600</v>
      </c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5"/>
      <c r="W238" s="4"/>
      <c r="X238" s="4"/>
      <c r="Y238" s="4"/>
      <c r="Z238" s="4"/>
      <c r="AC238" s="7"/>
      <c r="AD238" s="7"/>
      <c r="AE238" s="7"/>
      <c r="AF238" s="7"/>
      <c r="AG238" s="7"/>
      <c r="AH238" s="7"/>
      <c r="AI238" s="4"/>
      <c r="AJ238" s="4"/>
      <c r="AK238" s="4"/>
      <c r="AL238" s="4"/>
      <c r="AM238" s="4"/>
      <c r="AN238" s="4"/>
      <c r="AO238" s="4"/>
      <c r="AP238" s="4"/>
      <c r="AQ238" s="4"/>
      <c r="AR238" s="8"/>
      <c r="AS238" s="8"/>
      <c r="AT238" s="4"/>
      <c r="AU238" s="4"/>
      <c r="AV238" s="4"/>
      <c r="AW238" s="4"/>
      <c r="BM238" s="4"/>
      <c r="BN238" s="4"/>
    </row>
    <row r="239" spans="1:66" s="6" customFormat="1" ht="55.9" customHeight="1" x14ac:dyDescent="0.25">
      <c r="A239" s="38" t="s">
        <v>441</v>
      </c>
      <c r="B239" s="21" t="s">
        <v>411</v>
      </c>
      <c r="C239" s="56" t="s">
        <v>436</v>
      </c>
      <c r="D239" s="23">
        <f>-96900+6900000-1900000</f>
        <v>4903100</v>
      </c>
      <c r="E239" s="23">
        <f>-104200+7438300</f>
        <v>7334100</v>
      </c>
      <c r="F239" s="23">
        <f>-104200+7438300</f>
        <v>7334100</v>
      </c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5"/>
      <c r="W239" s="4"/>
      <c r="X239" s="4"/>
      <c r="Y239" s="4"/>
      <c r="Z239" s="4"/>
      <c r="AC239" s="7"/>
      <c r="AD239" s="7"/>
      <c r="AE239" s="7"/>
      <c r="AF239" s="7"/>
      <c r="AG239" s="7"/>
      <c r="AH239" s="7"/>
      <c r="AI239" s="4"/>
      <c r="AJ239" s="4"/>
      <c r="AK239" s="4"/>
      <c r="AL239" s="4"/>
      <c r="AM239" s="4"/>
      <c r="AN239" s="4"/>
      <c r="AO239" s="4"/>
      <c r="AP239" s="4"/>
      <c r="AQ239" s="4"/>
      <c r="AR239" s="8"/>
      <c r="AS239" s="8"/>
      <c r="AT239" s="4"/>
      <c r="AU239" s="4"/>
      <c r="AV239" s="4"/>
      <c r="AW239" s="4"/>
      <c r="BM239" s="4"/>
      <c r="BN239" s="4"/>
    </row>
    <row r="240" spans="1:66" s="6" customFormat="1" ht="41.45" customHeight="1" x14ac:dyDescent="0.25">
      <c r="A240" s="70" t="s">
        <v>442</v>
      </c>
      <c r="B240" s="21" t="s">
        <v>411</v>
      </c>
      <c r="C240" s="56" t="s">
        <v>436</v>
      </c>
      <c r="D240" s="23">
        <f>10625700+7231300-10625700</f>
        <v>7231300</v>
      </c>
      <c r="E240" s="23">
        <v>0</v>
      </c>
      <c r="F240" s="23">
        <v>0</v>
      </c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5"/>
      <c r="W240" s="4"/>
      <c r="X240" s="4"/>
      <c r="Y240" s="4"/>
      <c r="Z240" s="4"/>
      <c r="AC240" s="7"/>
      <c r="AD240" s="7"/>
      <c r="AE240" s="7"/>
      <c r="AF240" s="7"/>
      <c r="AG240" s="7"/>
      <c r="AH240" s="7"/>
      <c r="AI240" s="4"/>
      <c r="AJ240" s="4"/>
      <c r="AK240" s="4"/>
      <c r="AL240" s="4"/>
      <c r="AM240" s="4"/>
      <c r="AN240" s="4"/>
      <c r="AO240" s="4"/>
      <c r="AP240" s="4"/>
      <c r="AQ240" s="4"/>
      <c r="AR240" s="8"/>
      <c r="AS240" s="8"/>
      <c r="AT240" s="4"/>
      <c r="AU240" s="4"/>
      <c r="AV240" s="4"/>
      <c r="AW240" s="4"/>
      <c r="BM240" s="4"/>
      <c r="BN240" s="4"/>
    </row>
    <row r="241" spans="1:66" s="6" customFormat="1" ht="96" customHeight="1" x14ac:dyDescent="0.25">
      <c r="A241" s="38" t="s">
        <v>443</v>
      </c>
      <c r="B241" s="21" t="s">
        <v>411</v>
      </c>
      <c r="C241" s="56" t="s">
        <v>436</v>
      </c>
      <c r="D241" s="23">
        <v>6081000</v>
      </c>
      <c r="E241" s="23">
        <v>0</v>
      </c>
      <c r="F241" s="23">
        <v>0</v>
      </c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5"/>
      <c r="W241" s="4"/>
      <c r="X241" s="4"/>
      <c r="Y241" s="4"/>
      <c r="Z241" s="4"/>
      <c r="AC241" s="7"/>
      <c r="AD241" s="7"/>
      <c r="AE241" s="7"/>
      <c r="AF241" s="7"/>
      <c r="AG241" s="7"/>
      <c r="AH241" s="7"/>
      <c r="AI241" s="4"/>
      <c r="AJ241" s="4"/>
      <c r="AK241" s="4"/>
      <c r="AL241" s="4"/>
      <c r="AM241" s="4"/>
      <c r="AN241" s="4"/>
      <c r="AO241" s="4"/>
      <c r="AP241" s="4"/>
      <c r="AQ241" s="4"/>
      <c r="AR241" s="8"/>
      <c r="AS241" s="8"/>
      <c r="AT241" s="4"/>
      <c r="AU241" s="4"/>
      <c r="AV241" s="4"/>
      <c r="AW241" s="4"/>
      <c r="BM241" s="4"/>
      <c r="BN241" s="4"/>
    </row>
    <row r="242" spans="1:66" s="6" customFormat="1" ht="66.599999999999994" customHeight="1" x14ac:dyDescent="0.25">
      <c r="A242" s="38" t="s">
        <v>444</v>
      </c>
      <c r="B242" s="21" t="s">
        <v>411</v>
      </c>
      <c r="C242" s="56" t="s">
        <v>436</v>
      </c>
      <c r="D242" s="75">
        <v>4584900</v>
      </c>
      <c r="E242" s="23">
        <v>0</v>
      </c>
      <c r="F242" s="23">
        <v>0</v>
      </c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5"/>
      <c r="W242" s="4"/>
      <c r="X242" s="4"/>
      <c r="Y242" s="4"/>
      <c r="Z242" s="4"/>
      <c r="AC242" s="7"/>
      <c r="AD242" s="7"/>
      <c r="AE242" s="7"/>
      <c r="AF242" s="7"/>
      <c r="AG242" s="7"/>
      <c r="AH242" s="7"/>
      <c r="AI242" s="4"/>
      <c r="AJ242" s="4"/>
      <c r="AK242" s="4"/>
      <c r="AL242" s="4"/>
      <c r="AM242" s="4"/>
      <c r="AN242" s="4"/>
      <c r="AO242" s="4"/>
      <c r="AP242" s="4"/>
      <c r="AQ242" s="4"/>
      <c r="AR242" s="8"/>
      <c r="AS242" s="8"/>
      <c r="AT242" s="4"/>
      <c r="AU242" s="4"/>
      <c r="AV242" s="4"/>
      <c r="AW242" s="4"/>
      <c r="BM242" s="4"/>
      <c r="BN242" s="4"/>
    </row>
    <row r="243" spans="1:66" s="6" customFormat="1" ht="96" customHeight="1" x14ac:dyDescent="0.25">
      <c r="A243" s="38" t="s">
        <v>445</v>
      </c>
      <c r="B243" s="21" t="s">
        <v>411</v>
      </c>
      <c r="C243" s="56" t="s">
        <v>436</v>
      </c>
      <c r="D243" s="23">
        <v>396700</v>
      </c>
      <c r="E243" s="23">
        <v>0</v>
      </c>
      <c r="F243" s="23">
        <v>0</v>
      </c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5"/>
      <c r="W243" s="4"/>
      <c r="X243" s="4"/>
      <c r="Y243" s="4"/>
      <c r="Z243" s="4"/>
      <c r="AC243" s="7"/>
      <c r="AD243" s="7"/>
      <c r="AE243" s="7"/>
      <c r="AF243" s="7"/>
      <c r="AG243" s="7"/>
      <c r="AH243" s="7"/>
      <c r="AI243" s="4"/>
      <c r="AJ243" s="4"/>
      <c r="AK243" s="4"/>
      <c r="AL243" s="4"/>
      <c r="AM243" s="4"/>
      <c r="AN243" s="4"/>
      <c r="AO243" s="4"/>
      <c r="AP243" s="4"/>
      <c r="AQ243" s="4"/>
      <c r="AR243" s="8"/>
      <c r="AS243" s="8"/>
      <c r="AT243" s="4"/>
      <c r="AU243" s="4"/>
      <c r="AV243" s="4"/>
      <c r="AW243" s="4"/>
      <c r="BM243" s="4"/>
      <c r="BN243" s="4"/>
    </row>
    <row r="244" spans="1:66" s="6" customFormat="1" ht="57" customHeight="1" x14ac:dyDescent="0.25">
      <c r="A244" s="38" t="s">
        <v>446</v>
      </c>
      <c r="B244" s="21" t="s">
        <v>411</v>
      </c>
      <c r="C244" s="56" t="s">
        <v>436</v>
      </c>
      <c r="D244" s="23">
        <v>8000000</v>
      </c>
      <c r="E244" s="23">
        <v>0</v>
      </c>
      <c r="F244" s="23">
        <v>0</v>
      </c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5"/>
      <c r="W244" s="4"/>
      <c r="X244" s="4"/>
      <c r="Y244" s="4"/>
      <c r="Z244" s="4"/>
      <c r="AC244" s="7"/>
      <c r="AD244" s="7"/>
      <c r="AE244" s="7"/>
      <c r="AF244" s="7"/>
      <c r="AG244" s="7"/>
      <c r="AH244" s="7"/>
      <c r="AI244" s="4"/>
      <c r="AJ244" s="4"/>
      <c r="AK244" s="4"/>
      <c r="AL244" s="4"/>
      <c r="AM244" s="4"/>
      <c r="AN244" s="4"/>
      <c r="AO244" s="4"/>
      <c r="AP244" s="4"/>
      <c r="AQ244" s="4"/>
      <c r="AR244" s="8"/>
      <c r="AS244" s="8"/>
      <c r="AT244" s="4"/>
      <c r="AU244" s="4"/>
      <c r="AV244" s="4"/>
      <c r="AW244" s="4"/>
      <c r="BM244" s="4"/>
      <c r="BN244" s="4"/>
    </row>
    <row r="245" spans="1:66" s="6" customFormat="1" ht="140.25" customHeight="1" x14ac:dyDescent="0.25">
      <c r="A245" s="76" t="s">
        <v>447</v>
      </c>
      <c r="B245" s="21" t="s">
        <v>393</v>
      </c>
      <c r="C245" s="56" t="s">
        <v>436</v>
      </c>
      <c r="D245" s="23">
        <v>142941100</v>
      </c>
      <c r="E245" s="23">
        <v>142941100</v>
      </c>
      <c r="F245" s="23">
        <v>159736200</v>
      </c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5"/>
      <c r="W245" s="4"/>
      <c r="X245" s="4"/>
      <c r="Y245" s="4"/>
      <c r="Z245" s="4"/>
      <c r="AC245" s="7"/>
      <c r="AD245" s="7"/>
      <c r="AE245" s="7"/>
      <c r="AF245" s="7"/>
      <c r="AG245" s="7"/>
      <c r="AH245" s="7"/>
      <c r="AI245" s="4"/>
      <c r="AJ245" s="4"/>
      <c r="AK245" s="4"/>
      <c r="AL245" s="4"/>
      <c r="AM245" s="4"/>
      <c r="AN245" s="4"/>
      <c r="AO245" s="4"/>
      <c r="AP245" s="4"/>
      <c r="AQ245" s="4"/>
      <c r="AR245" s="8"/>
      <c r="AS245" s="8"/>
      <c r="AT245" s="4"/>
      <c r="AU245" s="4"/>
      <c r="AV245" s="4"/>
      <c r="AW245" s="4"/>
      <c r="BM245" s="4"/>
      <c r="BN245" s="4"/>
    </row>
    <row r="246" spans="1:66" s="6" customFormat="1" ht="60" customHeight="1" x14ac:dyDescent="0.25">
      <c r="A246" s="77" t="s">
        <v>448</v>
      </c>
      <c r="B246" s="21" t="s">
        <v>406</v>
      </c>
      <c r="C246" s="56" t="s">
        <v>436</v>
      </c>
      <c r="D246" s="23">
        <f>56755100+2674600</f>
        <v>59429700</v>
      </c>
      <c r="E246" s="23">
        <v>57656800</v>
      </c>
      <c r="F246" s="23">
        <v>0</v>
      </c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5"/>
      <c r="W246" s="4"/>
      <c r="X246" s="4"/>
      <c r="Y246" s="4"/>
      <c r="Z246" s="4"/>
      <c r="AC246" s="7"/>
      <c r="AD246" s="7"/>
      <c r="AE246" s="7"/>
      <c r="AF246" s="7"/>
      <c r="AG246" s="7"/>
      <c r="AH246" s="7"/>
      <c r="AI246" s="4"/>
      <c r="AJ246" s="4"/>
      <c r="AK246" s="4"/>
      <c r="AL246" s="4"/>
      <c r="AM246" s="4"/>
      <c r="AN246" s="4"/>
      <c r="AO246" s="4"/>
      <c r="AP246" s="4"/>
      <c r="AQ246" s="4"/>
      <c r="AR246" s="8"/>
      <c r="AS246" s="8"/>
      <c r="AT246" s="4"/>
      <c r="AU246" s="4"/>
      <c r="AV246" s="4"/>
      <c r="AW246" s="4"/>
      <c r="BM246" s="4"/>
      <c r="BN246" s="4"/>
    </row>
    <row r="247" spans="1:66" s="6" customFormat="1" ht="68.45" customHeight="1" x14ac:dyDescent="0.25">
      <c r="A247" s="77" t="s">
        <v>449</v>
      </c>
      <c r="B247" s="21" t="s">
        <v>406</v>
      </c>
      <c r="C247" s="56" t="s">
        <v>436</v>
      </c>
      <c r="D247" s="23">
        <v>346144</v>
      </c>
      <c r="E247" s="23">
        <v>0</v>
      </c>
      <c r="F247" s="23">
        <v>0</v>
      </c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5"/>
      <c r="W247" s="4"/>
      <c r="X247" s="4"/>
      <c r="Y247" s="4"/>
      <c r="Z247" s="4"/>
      <c r="AC247" s="7"/>
      <c r="AD247" s="7"/>
      <c r="AE247" s="7"/>
      <c r="AF247" s="7"/>
      <c r="AG247" s="7"/>
      <c r="AH247" s="7"/>
      <c r="AI247" s="4"/>
      <c r="AJ247" s="4"/>
      <c r="AK247" s="4"/>
      <c r="AL247" s="4"/>
      <c r="AM247" s="4"/>
      <c r="AN247" s="4"/>
      <c r="AO247" s="4"/>
      <c r="AP247" s="4"/>
      <c r="AQ247" s="4"/>
      <c r="AR247" s="8"/>
      <c r="AS247" s="8"/>
      <c r="AT247" s="4"/>
      <c r="AU247" s="4"/>
      <c r="AV247" s="4"/>
      <c r="AW247" s="4"/>
      <c r="BM247" s="4"/>
      <c r="BN247" s="4"/>
    </row>
    <row r="248" spans="1:66" s="6" customFormat="1" ht="42" customHeight="1" x14ac:dyDescent="0.25">
      <c r="A248" s="78" t="s">
        <v>450</v>
      </c>
      <c r="B248" s="21" t="s">
        <v>406</v>
      </c>
      <c r="C248" s="56" t="s">
        <v>436</v>
      </c>
      <c r="D248" s="23">
        <v>260604</v>
      </c>
      <c r="E248" s="23">
        <v>0</v>
      </c>
      <c r="F248" s="23">
        <v>0</v>
      </c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5"/>
      <c r="W248" s="4"/>
      <c r="X248" s="4"/>
      <c r="Y248" s="4"/>
      <c r="Z248" s="4"/>
      <c r="AC248" s="7"/>
      <c r="AD248" s="7"/>
      <c r="AE248" s="7"/>
      <c r="AF248" s="7"/>
      <c r="AG248" s="7"/>
      <c r="AH248" s="7"/>
      <c r="AI248" s="4"/>
      <c r="AJ248" s="4"/>
      <c r="AK248" s="4"/>
      <c r="AL248" s="4"/>
      <c r="AM248" s="4"/>
      <c r="AN248" s="4"/>
      <c r="AO248" s="4"/>
      <c r="AP248" s="4"/>
      <c r="AQ248" s="4"/>
      <c r="AR248" s="8"/>
      <c r="AS248" s="8"/>
      <c r="AT248" s="4"/>
      <c r="AU248" s="4"/>
      <c r="AV248" s="4"/>
      <c r="AW248" s="4"/>
      <c r="BM248" s="4"/>
      <c r="BN248" s="4"/>
    </row>
    <row r="249" spans="1:66" s="6" customFormat="1" ht="42" customHeight="1" x14ac:dyDescent="0.25">
      <c r="A249" s="69" t="s">
        <v>451</v>
      </c>
      <c r="B249" s="21" t="s">
        <v>406</v>
      </c>
      <c r="C249" s="56" t="s">
        <v>436</v>
      </c>
      <c r="D249" s="23">
        <v>157455.42000000001</v>
      </c>
      <c r="E249" s="23">
        <v>0</v>
      </c>
      <c r="F249" s="23">
        <v>0</v>
      </c>
      <c r="G249" s="23">
        <v>185144</v>
      </c>
      <c r="H249" s="23">
        <v>185144</v>
      </c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5"/>
      <c r="W249" s="4"/>
      <c r="X249" s="4"/>
      <c r="Y249" s="4"/>
      <c r="Z249" s="4"/>
      <c r="AC249" s="7"/>
      <c r="AD249" s="7"/>
      <c r="AE249" s="7"/>
      <c r="AF249" s="7"/>
      <c r="AG249" s="7"/>
      <c r="AH249" s="7"/>
      <c r="AI249" s="4"/>
      <c r="AJ249" s="4"/>
      <c r="AK249" s="4"/>
      <c r="AL249" s="4"/>
      <c r="AM249" s="4"/>
      <c r="AN249" s="4"/>
      <c r="AO249" s="4"/>
      <c r="AP249" s="4"/>
      <c r="AQ249" s="4"/>
      <c r="AR249" s="8"/>
      <c r="AS249" s="8"/>
      <c r="AT249" s="4"/>
      <c r="AU249" s="4"/>
      <c r="AV249" s="4"/>
      <c r="AW249" s="4"/>
      <c r="BM249" s="4"/>
      <c r="BN249" s="4"/>
    </row>
    <row r="250" spans="1:66" s="6" customFormat="1" ht="41.45" customHeight="1" x14ac:dyDescent="0.25">
      <c r="A250" s="55" t="s">
        <v>452</v>
      </c>
      <c r="B250" s="21" t="s">
        <v>223</v>
      </c>
      <c r="C250" s="56" t="s">
        <v>436</v>
      </c>
      <c r="D250" s="23">
        <f>10000000+5000000</f>
        <v>15000000</v>
      </c>
      <c r="E250" s="23">
        <f>10000000+2425100</f>
        <v>12425100</v>
      </c>
      <c r="F250" s="23">
        <f>2425100+10000000</f>
        <v>12425100</v>
      </c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5"/>
      <c r="W250" s="4"/>
      <c r="X250" s="4"/>
      <c r="Y250" s="4"/>
      <c r="Z250" s="4"/>
      <c r="AC250" s="7"/>
      <c r="AD250" s="7"/>
      <c r="AE250" s="7"/>
      <c r="AF250" s="7"/>
      <c r="AG250" s="7"/>
      <c r="AH250" s="7"/>
      <c r="AI250" s="4"/>
      <c r="AJ250" s="4"/>
      <c r="AK250" s="4"/>
      <c r="AL250" s="4"/>
      <c r="AM250" s="4"/>
      <c r="AN250" s="4"/>
      <c r="AO250" s="4"/>
      <c r="AP250" s="4"/>
      <c r="AQ250" s="4"/>
      <c r="AR250" s="8"/>
      <c r="AS250" s="8"/>
      <c r="AT250" s="4"/>
      <c r="AU250" s="4"/>
      <c r="AV250" s="4"/>
      <c r="AW250" s="4"/>
      <c r="BM250" s="4"/>
      <c r="BN250" s="4"/>
    </row>
    <row r="251" spans="1:66" s="6" customFormat="1" ht="81" customHeight="1" x14ac:dyDescent="0.25">
      <c r="A251" s="70" t="s">
        <v>453</v>
      </c>
      <c r="B251" s="21" t="s">
        <v>108</v>
      </c>
      <c r="C251" s="56" t="s">
        <v>436</v>
      </c>
      <c r="D251" s="74">
        <v>3512200</v>
      </c>
      <c r="E251" s="23">
        <f>3512200+3512200+89076844.92-3512200-3512200-89076844.92</f>
        <v>0</v>
      </c>
      <c r="F251" s="23">
        <v>0</v>
      </c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5"/>
      <c r="W251" s="4"/>
      <c r="X251" s="4"/>
      <c r="Y251" s="4"/>
      <c r="Z251" s="4"/>
      <c r="AC251" s="7"/>
      <c r="AD251" s="7"/>
      <c r="AE251" s="7"/>
      <c r="AF251" s="7"/>
      <c r="AG251" s="7"/>
      <c r="AH251" s="7"/>
      <c r="AI251" s="4"/>
      <c r="AJ251" s="4"/>
      <c r="AK251" s="4"/>
      <c r="AL251" s="4"/>
      <c r="AM251" s="4"/>
      <c r="AN251" s="4"/>
      <c r="AO251" s="4"/>
      <c r="AP251" s="4"/>
      <c r="AQ251" s="4"/>
      <c r="AR251" s="8"/>
      <c r="AS251" s="8"/>
      <c r="AT251" s="4"/>
      <c r="AU251" s="4"/>
      <c r="AV251" s="4"/>
      <c r="AW251" s="4"/>
      <c r="BF251" s="15"/>
      <c r="BM251" s="4"/>
      <c r="BN251" s="4"/>
    </row>
    <row r="252" spans="1:66" s="6" customFormat="1" ht="45" customHeight="1" x14ac:dyDescent="0.25">
      <c r="A252" s="55" t="s">
        <v>454</v>
      </c>
      <c r="B252" s="21" t="s">
        <v>108</v>
      </c>
      <c r="C252" s="56" t="s">
        <v>436</v>
      </c>
      <c r="D252" s="23">
        <f>1275000-6400</f>
        <v>1268600</v>
      </c>
      <c r="E252" s="23">
        <v>0</v>
      </c>
      <c r="F252" s="23">
        <v>2654000</v>
      </c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5"/>
      <c r="W252" s="4"/>
      <c r="X252" s="4"/>
      <c r="Y252" s="4"/>
      <c r="Z252" s="4"/>
      <c r="AC252" s="7"/>
      <c r="AD252" s="7"/>
      <c r="AE252" s="7"/>
      <c r="AF252" s="7"/>
      <c r="AG252" s="7"/>
      <c r="AH252" s="7"/>
      <c r="AI252" s="4"/>
      <c r="AJ252" s="4"/>
      <c r="AK252" s="4"/>
      <c r="AL252" s="4"/>
      <c r="AM252" s="4"/>
      <c r="AN252" s="4"/>
      <c r="AO252" s="4"/>
      <c r="AP252" s="4"/>
      <c r="AQ252" s="4"/>
      <c r="AR252" s="8"/>
      <c r="AS252" s="8"/>
      <c r="AT252" s="4"/>
      <c r="AU252" s="4"/>
      <c r="AV252" s="4"/>
      <c r="AW252" s="4"/>
      <c r="BM252" s="4"/>
      <c r="BN252" s="4"/>
    </row>
    <row r="253" spans="1:66" s="6" customFormat="1" ht="42.6" customHeight="1" x14ac:dyDescent="0.25">
      <c r="A253" s="70" t="s">
        <v>455</v>
      </c>
      <c r="B253" s="21" t="s">
        <v>108</v>
      </c>
      <c r="C253" s="56" t="s">
        <v>436</v>
      </c>
      <c r="D253" s="23">
        <f>14781400+31306300+80666200</f>
        <v>126753900</v>
      </c>
      <c r="E253" s="23">
        <v>0</v>
      </c>
      <c r="F253" s="23">
        <v>0</v>
      </c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5"/>
      <c r="W253" s="4"/>
      <c r="X253" s="4"/>
      <c r="Y253" s="4"/>
      <c r="Z253" s="4"/>
      <c r="AC253" s="7"/>
      <c r="AD253" s="7"/>
      <c r="AE253" s="7"/>
      <c r="AF253" s="7"/>
      <c r="AG253" s="7"/>
      <c r="AH253" s="7"/>
      <c r="AI253" s="4"/>
      <c r="AJ253" s="4"/>
      <c r="AK253" s="4"/>
      <c r="AL253" s="4"/>
      <c r="AM253" s="4"/>
      <c r="AN253" s="4"/>
      <c r="AO253" s="4"/>
      <c r="AP253" s="4"/>
      <c r="AQ253" s="4"/>
      <c r="AR253" s="8"/>
      <c r="AS253" s="8"/>
      <c r="AT253" s="4"/>
      <c r="AU253" s="4"/>
      <c r="AV253" s="4"/>
      <c r="AW253" s="4"/>
      <c r="BM253" s="4"/>
      <c r="BN253" s="4"/>
    </row>
    <row r="254" spans="1:66" s="6" customFormat="1" ht="18" customHeight="1" x14ac:dyDescent="0.25">
      <c r="A254" s="20" t="s">
        <v>456</v>
      </c>
      <c r="B254" s="21" t="s">
        <v>11</v>
      </c>
      <c r="C254" s="24" t="s">
        <v>457</v>
      </c>
      <c r="D254" s="23">
        <f>+D255+D257+D272+D270</f>
        <v>1965532500</v>
      </c>
      <c r="E254" s="23">
        <f t="shared" ref="E254:F254" si="71">+E255+E257+E272+E270</f>
        <v>1646157700</v>
      </c>
      <c r="F254" s="23">
        <f t="shared" si="71"/>
        <v>1646156900</v>
      </c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5"/>
      <c r="W254" s="4"/>
      <c r="X254" s="4"/>
      <c r="Y254" s="4"/>
      <c r="Z254" s="4"/>
      <c r="AC254" s="7"/>
      <c r="AD254" s="7"/>
      <c r="AE254" s="7"/>
      <c r="AF254" s="7"/>
      <c r="AG254" s="7"/>
      <c r="AH254" s="7"/>
      <c r="AI254" s="4"/>
      <c r="AJ254" s="4"/>
      <c r="AK254" s="4"/>
      <c r="AL254" s="4"/>
      <c r="AM254" s="4"/>
      <c r="AN254" s="4"/>
      <c r="AO254" s="4"/>
      <c r="AP254" s="4"/>
      <c r="AQ254" s="4"/>
      <c r="AR254" s="8"/>
      <c r="AS254" s="8"/>
      <c r="AT254" s="4"/>
      <c r="AU254" s="4"/>
      <c r="AV254" s="4"/>
      <c r="AW254" s="4"/>
      <c r="BM254" s="4"/>
      <c r="BN254" s="4"/>
    </row>
    <row r="255" spans="1:66" s="81" customFormat="1" ht="42" customHeight="1" x14ac:dyDescent="0.25">
      <c r="A255" s="20" t="s">
        <v>458</v>
      </c>
      <c r="B255" s="21" t="s">
        <v>11</v>
      </c>
      <c r="C255" s="24" t="s">
        <v>459</v>
      </c>
      <c r="D255" s="23">
        <f>+D256</f>
        <v>55876800</v>
      </c>
      <c r="E255" s="23">
        <f>+E256</f>
        <v>55547800</v>
      </c>
      <c r="F255" s="23">
        <f>+F256</f>
        <v>55547800</v>
      </c>
      <c r="G255" s="79"/>
      <c r="H255" s="79"/>
      <c r="I255" s="79"/>
      <c r="J255" s="79"/>
      <c r="K255" s="79"/>
      <c r="L255" s="79"/>
      <c r="M255" s="79"/>
      <c r="N255" s="79"/>
      <c r="O255" s="79"/>
      <c r="P255" s="79"/>
      <c r="Q255" s="79"/>
      <c r="R255" s="79"/>
      <c r="S255" s="79"/>
      <c r="T255" s="79"/>
      <c r="U255" s="79"/>
      <c r="V255" s="80"/>
      <c r="W255" s="79"/>
      <c r="X255" s="79"/>
      <c r="Y255" s="79"/>
      <c r="Z255" s="79"/>
      <c r="AC255" s="82"/>
      <c r="AD255" s="82"/>
      <c r="AE255" s="82"/>
      <c r="AF255" s="82"/>
      <c r="AG255" s="82"/>
      <c r="AH255" s="82"/>
      <c r="AI255" s="79"/>
      <c r="AJ255" s="79"/>
      <c r="AK255" s="79"/>
      <c r="AL255" s="79"/>
      <c r="AM255" s="79"/>
      <c r="AN255" s="79"/>
      <c r="AO255" s="79"/>
      <c r="AP255" s="79"/>
      <c r="AQ255" s="79"/>
      <c r="AR255" s="79"/>
      <c r="AS255" s="79"/>
      <c r="AT255" s="79"/>
      <c r="AU255" s="79"/>
      <c r="AV255" s="79"/>
      <c r="AW255" s="79"/>
      <c r="BM255" s="79"/>
      <c r="BN255" s="79"/>
    </row>
    <row r="256" spans="1:66" s="81" customFormat="1" ht="40.9" customHeight="1" x14ac:dyDescent="0.25">
      <c r="A256" s="70" t="s">
        <v>460</v>
      </c>
      <c r="B256" s="21" t="s">
        <v>108</v>
      </c>
      <c r="C256" s="24" t="s">
        <v>461</v>
      </c>
      <c r="D256" s="74">
        <f>55547800+329000</f>
        <v>55876800</v>
      </c>
      <c r="E256" s="74">
        <v>55547800</v>
      </c>
      <c r="F256" s="74">
        <v>55547800</v>
      </c>
      <c r="G256" s="79"/>
      <c r="H256" s="79"/>
      <c r="I256" s="79"/>
      <c r="J256" s="79"/>
      <c r="K256" s="79"/>
      <c r="L256" s="79"/>
      <c r="M256" s="79"/>
      <c r="N256" s="79"/>
      <c r="O256" s="79"/>
      <c r="P256" s="79"/>
      <c r="Q256" s="79"/>
      <c r="R256" s="79"/>
      <c r="S256" s="79"/>
      <c r="T256" s="79"/>
      <c r="U256" s="79"/>
      <c r="V256" s="80"/>
      <c r="W256" s="79"/>
      <c r="X256" s="79"/>
      <c r="Y256" s="79"/>
      <c r="Z256" s="79"/>
      <c r="AC256" s="82"/>
      <c r="AD256" s="82"/>
      <c r="AE256" s="82"/>
      <c r="AF256" s="82"/>
      <c r="AG256" s="82"/>
      <c r="AH256" s="82"/>
      <c r="AI256" s="79"/>
      <c r="AJ256" s="79"/>
      <c r="AK256" s="79"/>
      <c r="AL256" s="79"/>
      <c r="AM256" s="79"/>
      <c r="AN256" s="79"/>
      <c r="AO256" s="79"/>
      <c r="AP256" s="79"/>
      <c r="AQ256" s="79"/>
      <c r="AR256" s="79"/>
      <c r="AS256" s="79"/>
      <c r="AT256" s="79"/>
      <c r="AU256" s="79"/>
      <c r="AV256" s="79"/>
      <c r="AW256" s="79"/>
      <c r="BM256" s="79"/>
      <c r="BN256" s="79"/>
    </row>
    <row r="257" spans="1:66" s="6" customFormat="1" ht="30.6" customHeight="1" x14ac:dyDescent="0.25">
      <c r="A257" s="20" t="s">
        <v>462</v>
      </c>
      <c r="B257" s="21" t="s">
        <v>11</v>
      </c>
      <c r="C257" s="21" t="s">
        <v>463</v>
      </c>
      <c r="D257" s="23">
        <f>+D258</f>
        <v>27360900</v>
      </c>
      <c r="E257" s="23">
        <f>+E258</f>
        <v>29143600</v>
      </c>
      <c r="F257" s="23">
        <f>+F258</f>
        <v>29143600</v>
      </c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5"/>
      <c r="W257" s="4"/>
      <c r="X257" s="4"/>
      <c r="Y257" s="4"/>
      <c r="Z257" s="4"/>
      <c r="AC257" s="7"/>
      <c r="AD257" s="7"/>
      <c r="AE257" s="7"/>
      <c r="AF257" s="7"/>
      <c r="AG257" s="7"/>
      <c r="AH257" s="7"/>
      <c r="AI257" s="4"/>
      <c r="AJ257" s="4"/>
      <c r="AK257" s="4"/>
      <c r="AL257" s="4"/>
      <c r="AM257" s="4"/>
      <c r="AN257" s="4"/>
      <c r="AO257" s="4"/>
      <c r="AP257" s="4"/>
      <c r="AQ257" s="4"/>
      <c r="AR257" s="8"/>
      <c r="AS257" s="8"/>
      <c r="AT257" s="4"/>
      <c r="AU257" s="4"/>
      <c r="AV257" s="4"/>
      <c r="AW257" s="4"/>
      <c r="BM257" s="4"/>
      <c r="BN257" s="4"/>
    </row>
    <row r="258" spans="1:66" s="81" customFormat="1" ht="30" customHeight="1" x14ac:dyDescent="0.25">
      <c r="A258" s="20" t="s">
        <v>464</v>
      </c>
      <c r="B258" s="21" t="s">
        <v>11</v>
      </c>
      <c r="C258" s="21" t="s">
        <v>465</v>
      </c>
      <c r="D258" s="23">
        <f>SUM(D259:D269)</f>
        <v>27360900</v>
      </c>
      <c r="E258" s="23">
        <f>SUM(E259:E269)</f>
        <v>29143600</v>
      </c>
      <c r="F258" s="23">
        <f>SUM(F259:F269)</f>
        <v>29143600</v>
      </c>
      <c r="G258" s="79"/>
      <c r="H258" s="79"/>
      <c r="I258" s="79"/>
      <c r="J258" s="79"/>
      <c r="K258" s="79"/>
      <c r="L258" s="79"/>
      <c r="M258" s="79"/>
      <c r="N258" s="79"/>
      <c r="O258" s="79"/>
      <c r="P258" s="79"/>
      <c r="Q258" s="79"/>
      <c r="R258" s="79"/>
      <c r="S258" s="79"/>
      <c r="T258" s="79"/>
      <c r="U258" s="79"/>
      <c r="V258" s="80"/>
      <c r="W258" s="79"/>
      <c r="X258" s="79"/>
      <c r="Y258" s="79"/>
      <c r="Z258" s="79"/>
      <c r="AC258" s="82"/>
      <c r="AD258" s="82"/>
      <c r="AE258" s="82"/>
      <c r="AF258" s="82"/>
      <c r="AG258" s="82"/>
      <c r="AH258" s="82"/>
      <c r="AI258" s="79"/>
      <c r="AJ258" s="79"/>
      <c r="AK258" s="79"/>
      <c r="AL258" s="79"/>
      <c r="AM258" s="79"/>
      <c r="AN258" s="79"/>
      <c r="AO258" s="79"/>
      <c r="AP258" s="79"/>
      <c r="AQ258" s="79"/>
      <c r="AR258" s="79"/>
      <c r="AS258" s="79"/>
      <c r="AT258" s="79"/>
      <c r="AU258" s="79"/>
      <c r="AV258" s="79"/>
      <c r="AW258" s="79"/>
      <c r="BM258" s="79"/>
      <c r="BN258" s="79"/>
    </row>
    <row r="259" spans="1:66" s="6" customFormat="1" ht="41.45" customHeight="1" x14ac:dyDescent="0.25">
      <c r="A259" s="84" t="s">
        <v>466</v>
      </c>
      <c r="B259" s="21" t="s">
        <v>411</v>
      </c>
      <c r="C259" s="21" t="s">
        <v>465</v>
      </c>
      <c r="D259" s="74">
        <f>13551700-1414400-1095500</f>
        <v>11041800</v>
      </c>
      <c r="E259" s="74">
        <v>13551700</v>
      </c>
      <c r="F259" s="74">
        <v>13551700</v>
      </c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5"/>
      <c r="W259" s="4"/>
      <c r="X259" s="4"/>
      <c r="Y259" s="4"/>
      <c r="Z259" s="4"/>
      <c r="AC259" s="7"/>
      <c r="AD259" s="7"/>
      <c r="AE259" s="7"/>
      <c r="AF259" s="7"/>
      <c r="AG259" s="7"/>
      <c r="AH259" s="7"/>
      <c r="AI259" s="4"/>
      <c r="AJ259" s="4"/>
      <c r="AK259" s="4"/>
      <c r="AL259" s="4"/>
      <c r="AM259" s="4"/>
      <c r="AN259" s="4"/>
      <c r="AO259" s="4"/>
      <c r="AP259" s="4"/>
      <c r="AQ259" s="4"/>
      <c r="AR259" s="8"/>
      <c r="AS259" s="8"/>
      <c r="AT259" s="4"/>
      <c r="AU259" s="4"/>
      <c r="AV259" s="4"/>
      <c r="AW259" s="4"/>
      <c r="BM259" s="4"/>
      <c r="BN259" s="4"/>
    </row>
    <row r="260" spans="1:66" s="6" customFormat="1" ht="83.45" customHeight="1" x14ac:dyDescent="0.25">
      <c r="A260" s="38" t="s">
        <v>467</v>
      </c>
      <c r="B260" s="21" t="s">
        <v>411</v>
      </c>
      <c r="C260" s="21" t="s">
        <v>465</v>
      </c>
      <c r="D260" s="74">
        <v>55700</v>
      </c>
      <c r="E260" s="74">
        <v>55700</v>
      </c>
      <c r="F260" s="74">
        <v>55700</v>
      </c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5"/>
      <c r="W260" s="4"/>
      <c r="X260" s="4"/>
      <c r="Y260" s="4"/>
      <c r="Z260" s="4"/>
      <c r="AC260" s="7"/>
      <c r="AD260" s="7"/>
      <c r="AE260" s="7"/>
      <c r="AF260" s="7"/>
      <c r="AG260" s="7"/>
      <c r="AH260" s="7"/>
      <c r="AI260" s="4"/>
      <c r="AJ260" s="4"/>
      <c r="AK260" s="4"/>
      <c r="AL260" s="4"/>
      <c r="AM260" s="4"/>
      <c r="AN260" s="4"/>
      <c r="AO260" s="4"/>
      <c r="AP260" s="4"/>
      <c r="AQ260" s="4"/>
      <c r="AR260" s="8"/>
      <c r="AS260" s="8"/>
      <c r="AT260" s="4"/>
      <c r="AU260" s="4"/>
      <c r="AV260" s="4"/>
      <c r="AW260" s="4"/>
      <c r="AY260" s="123"/>
      <c r="AZ260" s="123"/>
      <c r="BA260" s="123"/>
      <c r="BB260" s="123"/>
      <c r="BC260" s="123"/>
      <c r="BD260" s="123"/>
      <c r="BM260" s="4"/>
      <c r="BN260" s="4"/>
    </row>
    <row r="261" spans="1:66" s="6" customFormat="1" ht="36" customHeight="1" x14ac:dyDescent="0.25">
      <c r="A261" s="83" t="s">
        <v>468</v>
      </c>
      <c r="B261" s="21" t="s">
        <v>411</v>
      </c>
      <c r="C261" s="21" t="s">
        <v>465</v>
      </c>
      <c r="D261" s="74">
        <v>3337200</v>
      </c>
      <c r="E261" s="74">
        <v>3337200</v>
      </c>
      <c r="F261" s="74">
        <v>3337200</v>
      </c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5"/>
      <c r="W261" s="4"/>
      <c r="X261" s="4"/>
      <c r="Y261" s="4"/>
      <c r="Z261" s="4"/>
      <c r="AC261" s="7"/>
      <c r="AD261" s="7"/>
      <c r="AE261" s="7"/>
      <c r="AF261" s="7"/>
      <c r="AG261" s="7"/>
      <c r="AH261" s="7"/>
      <c r="AI261" s="4"/>
      <c r="AJ261" s="4"/>
      <c r="AK261" s="4"/>
      <c r="AL261" s="4"/>
      <c r="AM261" s="4"/>
      <c r="AN261" s="4"/>
      <c r="AO261" s="4"/>
      <c r="AP261" s="4"/>
      <c r="AQ261" s="4"/>
      <c r="AR261" s="8"/>
      <c r="AS261" s="8"/>
      <c r="AT261" s="4"/>
      <c r="AU261" s="4"/>
      <c r="AV261" s="4"/>
      <c r="AW261" s="4"/>
      <c r="AZ261" s="124"/>
      <c r="BA261" s="124"/>
      <c r="BB261" s="124"/>
      <c r="BC261" s="124"/>
      <c r="BD261" s="124"/>
      <c r="BE261" s="124"/>
      <c r="BM261" s="4"/>
      <c r="BN261" s="4"/>
    </row>
    <row r="262" spans="1:66" s="81" customFormat="1" ht="38.25" x14ac:dyDescent="0.2">
      <c r="A262" s="84" t="s">
        <v>469</v>
      </c>
      <c r="B262" s="21" t="s">
        <v>223</v>
      </c>
      <c r="C262" s="21" t="s">
        <v>465</v>
      </c>
      <c r="D262" s="23">
        <f>62200+3300</f>
        <v>65500</v>
      </c>
      <c r="E262" s="23">
        <v>62200</v>
      </c>
      <c r="F262" s="23">
        <v>62200</v>
      </c>
      <c r="G262" s="79"/>
      <c r="H262" s="79"/>
      <c r="I262" s="79"/>
      <c r="J262" s="79"/>
      <c r="K262" s="79"/>
      <c r="L262" s="79"/>
      <c r="M262" s="79"/>
      <c r="N262" s="79"/>
      <c r="O262" s="79"/>
      <c r="P262" s="79"/>
      <c r="Q262" s="79"/>
      <c r="R262" s="79"/>
      <c r="S262" s="79"/>
      <c r="T262" s="79"/>
      <c r="U262" s="79"/>
      <c r="V262" s="80"/>
      <c r="W262" s="79"/>
      <c r="X262" s="79"/>
      <c r="Y262" s="79"/>
      <c r="Z262" s="79"/>
      <c r="AC262" s="82"/>
      <c r="AD262" s="82"/>
      <c r="AE262" s="82"/>
      <c r="AF262" s="82"/>
      <c r="AG262" s="82"/>
      <c r="AH262" s="82"/>
      <c r="AI262" s="79"/>
      <c r="AJ262" s="79"/>
      <c r="AK262" s="79"/>
      <c r="AL262" s="79"/>
      <c r="AM262" s="79"/>
      <c r="AN262" s="79"/>
      <c r="AO262" s="79"/>
      <c r="AP262" s="79"/>
      <c r="AQ262" s="79"/>
      <c r="AR262" s="79"/>
      <c r="AS262" s="79"/>
      <c r="AT262" s="79"/>
      <c r="AU262" s="79"/>
      <c r="AV262" s="79"/>
      <c r="AW262" s="79"/>
      <c r="BM262" s="79"/>
      <c r="BN262" s="79"/>
    </row>
    <row r="263" spans="1:66" s="81" customFormat="1" ht="25.5" x14ac:dyDescent="0.25">
      <c r="A263" s="20" t="s">
        <v>470</v>
      </c>
      <c r="B263" s="21" t="s">
        <v>223</v>
      </c>
      <c r="C263" s="21" t="s">
        <v>465</v>
      </c>
      <c r="D263" s="74">
        <f>176300+9500</f>
        <v>185800</v>
      </c>
      <c r="E263" s="74">
        <v>176300</v>
      </c>
      <c r="F263" s="74">
        <v>176300</v>
      </c>
      <c r="G263" s="79"/>
      <c r="H263" s="79"/>
      <c r="I263" s="79"/>
      <c r="J263" s="79"/>
      <c r="K263" s="79"/>
      <c r="L263" s="79"/>
      <c r="M263" s="79"/>
      <c r="N263" s="79"/>
      <c r="O263" s="79"/>
      <c r="P263" s="79"/>
      <c r="Q263" s="79"/>
      <c r="R263" s="79"/>
      <c r="S263" s="79"/>
      <c r="T263" s="79"/>
      <c r="U263" s="79"/>
      <c r="V263" s="80"/>
      <c r="W263" s="79"/>
      <c r="X263" s="79"/>
      <c r="Y263" s="79"/>
      <c r="Z263" s="79"/>
      <c r="AC263" s="82"/>
      <c r="AD263" s="82"/>
      <c r="AE263" s="82"/>
      <c r="AF263" s="82"/>
      <c r="AG263" s="82"/>
      <c r="AH263" s="82"/>
      <c r="AI263" s="79"/>
      <c r="AJ263" s="79"/>
      <c r="AK263" s="79"/>
      <c r="AL263" s="79"/>
      <c r="AM263" s="79"/>
      <c r="AN263" s="79"/>
      <c r="AO263" s="79"/>
      <c r="AP263" s="79"/>
      <c r="AQ263" s="79"/>
      <c r="AR263" s="79"/>
      <c r="AS263" s="79"/>
      <c r="AT263" s="79"/>
      <c r="AU263" s="79"/>
      <c r="AV263" s="79"/>
      <c r="AW263" s="79"/>
      <c r="BM263" s="79"/>
      <c r="BN263" s="79"/>
    </row>
    <row r="264" spans="1:66" s="81" customFormat="1" ht="51" x14ac:dyDescent="0.25">
      <c r="A264" s="70" t="s">
        <v>471</v>
      </c>
      <c r="B264" s="21" t="s">
        <v>223</v>
      </c>
      <c r="C264" s="21" t="s">
        <v>465</v>
      </c>
      <c r="D264" s="85">
        <f>3926900+197600</f>
        <v>4124500</v>
      </c>
      <c r="E264" s="85">
        <v>3926900</v>
      </c>
      <c r="F264" s="85">
        <v>3926900</v>
      </c>
      <c r="G264" s="79"/>
      <c r="H264" s="79"/>
      <c r="I264" s="79"/>
      <c r="J264" s="79"/>
      <c r="K264" s="79"/>
      <c r="L264" s="79"/>
      <c r="M264" s="79"/>
      <c r="N264" s="79"/>
      <c r="O264" s="79"/>
      <c r="P264" s="79"/>
      <c r="Q264" s="79"/>
      <c r="R264" s="79"/>
      <c r="S264" s="79"/>
      <c r="T264" s="79"/>
      <c r="U264" s="79"/>
      <c r="V264" s="80"/>
      <c r="W264" s="79"/>
      <c r="X264" s="79"/>
      <c r="Y264" s="79"/>
      <c r="Z264" s="79"/>
      <c r="AC264" s="82"/>
      <c r="AD264" s="82"/>
      <c r="AE264" s="82"/>
      <c r="AF264" s="82"/>
      <c r="AG264" s="82"/>
      <c r="AH264" s="82"/>
      <c r="AI264" s="79"/>
      <c r="AJ264" s="79"/>
      <c r="AK264" s="79"/>
      <c r="AL264" s="79"/>
      <c r="AM264" s="79"/>
      <c r="AN264" s="79"/>
      <c r="AO264" s="79"/>
      <c r="AP264" s="79"/>
      <c r="AQ264" s="79"/>
      <c r="AR264" s="79"/>
      <c r="AS264" s="79"/>
      <c r="AT264" s="79"/>
      <c r="AU264" s="79"/>
      <c r="AV264" s="79"/>
      <c r="AW264" s="79"/>
      <c r="BM264" s="79"/>
      <c r="BN264" s="79"/>
    </row>
    <row r="265" spans="1:66" s="6" customFormat="1" ht="53.45" customHeight="1" x14ac:dyDescent="0.25">
      <c r="A265" s="84" t="s">
        <v>472</v>
      </c>
      <c r="B265" s="21" t="s">
        <v>223</v>
      </c>
      <c r="C265" s="21" t="s">
        <v>465</v>
      </c>
      <c r="D265" s="74">
        <f>3257100+179300</f>
        <v>3436400</v>
      </c>
      <c r="E265" s="74">
        <v>3257100</v>
      </c>
      <c r="F265" s="74">
        <v>3257100</v>
      </c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5"/>
      <c r="W265" s="4"/>
      <c r="X265" s="4"/>
      <c r="Y265" s="4"/>
      <c r="Z265" s="4"/>
      <c r="AC265" s="7"/>
      <c r="AD265" s="7"/>
      <c r="AE265" s="7"/>
      <c r="AF265" s="7"/>
      <c r="AG265" s="7"/>
      <c r="AH265" s="7"/>
      <c r="AI265" s="4"/>
      <c r="AJ265" s="4"/>
      <c r="AK265" s="4"/>
      <c r="AL265" s="4"/>
      <c r="AM265" s="4"/>
      <c r="AN265" s="4"/>
      <c r="AO265" s="4"/>
      <c r="AP265" s="4"/>
      <c r="AQ265" s="4"/>
      <c r="AR265" s="8"/>
      <c r="AS265" s="8"/>
      <c r="AT265" s="4"/>
      <c r="AU265" s="4"/>
      <c r="AV265" s="4"/>
      <c r="AW265" s="4"/>
      <c r="BM265" s="4"/>
      <c r="BN265" s="4"/>
    </row>
    <row r="266" spans="1:66" s="81" customFormat="1" ht="27.6" customHeight="1" x14ac:dyDescent="0.25">
      <c r="A266" s="20" t="s">
        <v>473</v>
      </c>
      <c r="B266" s="21" t="s">
        <v>223</v>
      </c>
      <c r="C266" s="21" t="s">
        <v>465</v>
      </c>
      <c r="D266" s="85">
        <f>1077800+112700</f>
        <v>1190500</v>
      </c>
      <c r="E266" s="85">
        <v>1077800</v>
      </c>
      <c r="F266" s="85">
        <v>1077800</v>
      </c>
      <c r="G266" s="79"/>
      <c r="H266" s="79"/>
      <c r="I266" s="79"/>
      <c r="J266" s="79"/>
      <c r="K266" s="79"/>
      <c r="L266" s="79"/>
      <c r="M266" s="79"/>
      <c r="N266" s="79"/>
      <c r="O266" s="79"/>
      <c r="P266" s="79"/>
      <c r="Q266" s="79"/>
      <c r="R266" s="79"/>
      <c r="S266" s="79"/>
      <c r="T266" s="79"/>
      <c r="U266" s="79"/>
      <c r="V266" s="80"/>
      <c r="W266" s="79"/>
      <c r="X266" s="79"/>
      <c r="Y266" s="79"/>
      <c r="Z266" s="79"/>
      <c r="AC266" s="82"/>
      <c r="AD266" s="82"/>
      <c r="AE266" s="82"/>
      <c r="AF266" s="82"/>
      <c r="AG266" s="82"/>
      <c r="AH266" s="82"/>
      <c r="AI266" s="79"/>
      <c r="AJ266" s="79"/>
      <c r="AK266" s="79"/>
      <c r="AL266" s="79"/>
      <c r="AM266" s="79"/>
      <c r="AN266" s="79"/>
      <c r="AO266" s="79"/>
      <c r="AP266" s="79"/>
      <c r="AQ266" s="79"/>
      <c r="AR266" s="79"/>
      <c r="AS266" s="79"/>
      <c r="AT266" s="79"/>
      <c r="AU266" s="79"/>
      <c r="AV266" s="79"/>
      <c r="AW266" s="79"/>
      <c r="BM266" s="79"/>
      <c r="BN266" s="79"/>
    </row>
    <row r="267" spans="1:66" s="81" customFormat="1" ht="80.45" customHeight="1" x14ac:dyDescent="0.25">
      <c r="A267" s="20" t="s">
        <v>474</v>
      </c>
      <c r="B267" s="21" t="s">
        <v>223</v>
      </c>
      <c r="C267" s="21" t="s">
        <v>465</v>
      </c>
      <c r="D267" s="75">
        <v>700</v>
      </c>
      <c r="E267" s="75">
        <v>700</v>
      </c>
      <c r="F267" s="75">
        <v>700</v>
      </c>
      <c r="G267" s="79"/>
      <c r="H267" s="79"/>
      <c r="I267" s="79"/>
      <c r="J267" s="79"/>
      <c r="K267" s="79"/>
      <c r="L267" s="79"/>
      <c r="M267" s="79"/>
      <c r="N267" s="79"/>
      <c r="O267" s="79"/>
      <c r="P267" s="79"/>
      <c r="Q267" s="79"/>
      <c r="R267" s="79"/>
      <c r="S267" s="79"/>
      <c r="T267" s="79"/>
      <c r="U267" s="79"/>
      <c r="V267" s="80"/>
      <c r="W267" s="79"/>
      <c r="X267" s="79"/>
      <c r="Y267" s="79"/>
      <c r="Z267" s="79"/>
      <c r="AC267" s="82"/>
      <c r="AD267" s="82"/>
      <c r="AE267" s="82"/>
      <c r="AF267" s="82"/>
      <c r="AG267" s="82"/>
      <c r="AH267" s="82"/>
      <c r="AI267" s="79"/>
      <c r="AJ267" s="79"/>
      <c r="AK267" s="79"/>
      <c r="AL267" s="79"/>
      <c r="AM267" s="79"/>
      <c r="AN267" s="79"/>
      <c r="AO267" s="79"/>
      <c r="AP267" s="79"/>
      <c r="AQ267" s="79"/>
      <c r="AR267" s="79"/>
      <c r="AS267" s="79"/>
      <c r="AT267" s="79"/>
      <c r="AU267" s="79"/>
      <c r="AV267" s="79"/>
      <c r="AW267" s="79"/>
      <c r="BM267" s="79"/>
      <c r="BN267" s="79"/>
    </row>
    <row r="268" spans="1:66" s="6" customFormat="1" ht="43.9" customHeight="1" x14ac:dyDescent="0.25">
      <c r="A268" s="20" t="s">
        <v>475</v>
      </c>
      <c r="B268" s="21" t="s">
        <v>223</v>
      </c>
      <c r="C268" s="21" t="s">
        <v>465</v>
      </c>
      <c r="D268" s="74">
        <f>2154300+110400</f>
        <v>2264700</v>
      </c>
      <c r="E268" s="74">
        <v>2154300</v>
      </c>
      <c r="F268" s="74">
        <v>2154300</v>
      </c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5"/>
      <c r="W268" s="4"/>
      <c r="X268" s="4"/>
      <c r="Y268" s="4"/>
      <c r="Z268" s="4"/>
      <c r="AC268" s="7"/>
      <c r="AD268" s="7"/>
      <c r="AE268" s="7"/>
      <c r="AF268" s="7"/>
      <c r="AG268" s="7"/>
      <c r="AH268" s="7"/>
      <c r="AI268" s="4"/>
      <c r="AJ268" s="4"/>
      <c r="AK268" s="4"/>
      <c r="AL268" s="4"/>
      <c r="AM268" s="4"/>
      <c r="AN268" s="4"/>
      <c r="AO268" s="4"/>
      <c r="AP268" s="4"/>
      <c r="AQ268" s="4"/>
      <c r="AR268" s="8"/>
      <c r="AS268" s="8"/>
      <c r="AT268" s="4"/>
      <c r="AU268" s="4"/>
      <c r="AV268" s="4"/>
      <c r="AW268" s="4"/>
      <c r="BM268" s="4"/>
      <c r="BN268" s="4"/>
    </row>
    <row r="269" spans="1:66" s="6" customFormat="1" ht="57" customHeight="1" x14ac:dyDescent="0.25">
      <c r="A269" s="86" t="s">
        <v>476</v>
      </c>
      <c r="B269" s="21" t="s">
        <v>108</v>
      </c>
      <c r="C269" s="21" t="s">
        <v>465</v>
      </c>
      <c r="D269" s="74">
        <f>1543700+114400</f>
        <v>1658100</v>
      </c>
      <c r="E269" s="74">
        <v>1543700</v>
      </c>
      <c r="F269" s="74">
        <v>1543700</v>
      </c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5"/>
      <c r="W269" s="4"/>
      <c r="X269" s="4"/>
      <c r="Y269" s="4"/>
      <c r="Z269" s="4"/>
      <c r="AC269" s="7"/>
      <c r="AD269" s="7"/>
      <c r="AE269" s="7"/>
      <c r="AF269" s="7"/>
      <c r="AG269" s="7"/>
      <c r="AH269" s="7"/>
      <c r="AI269" s="4"/>
      <c r="AJ269" s="4"/>
      <c r="AK269" s="4"/>
      <c r="AL269" s="4"/>
      <c r="AM269" s="4"/>
      <c r="AN269" s="4"/>
      <c r="AO269" s="4"/>
      <c r="AP269" s="4"/>
      <c r="AQ269" s="4"/>
      <c r="AR269" s="8"/>
      <c r="AS269" s="8"/>
      <c r="AT269" s="4"/>
      <c r="AU269" s="4"/>
      <c r="AV269" s="4"/>
      <c r="AW269" s="4"/>
      <c r="AY269" s="125"/>
      <c r="AZ269" s="125"/>
      <c r="BA269" s="125"/>
      <c r="BB269" s="125"/>
      <c r="BC269" s="125"/>
      <c r="BD269" s="125"/>
      <c r="BM269" s="4"/>
      <c r="BN269" s="4"/>
    </row>
    <row r="270" spans="1:66" s="6" customFormat="1" ht="44.45" customHeight="1" x14ac:dyDescent="0.25">
      <c r="A270" s="20" t="s">
        <v>477</v>
      </c>
      <c r="B270" s="21" t="s">
        <v>11</v>
      </c>
      <c r="C270" s="62" t="s">
        <v>478</v>
      </c>
      <c r="D270" s="74">
        <f>+D271</f>
        <v>83200</v>
      </c>
      <c r="E270" s="74">
        <f>+E271</f>
        <v>6800</v>
      </c>
      <c r="F270" s="74">
        <f>+F271</f>
        <v>6000</v>
      </c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5"/>
      <c r="W270" s="4"/>
      <c r="X270" s="4"/>
      <c r="Y270" s="4"/>
      <c r="Z270" s="4"/>
      <c r="AC270" s="7"/>
      <c r="AD270" s="7"/>
      <c r="AE270" s="7"/>
      <c r="AF270" s="7"/>
      <c r="AG270" s="7"/>
      <c r="AH270" s="7"/>
      <c r="AI270" s="4"/>
      <c r="AJ270" s="4"/>
      <c r="AK270" s="4"/>
      <c r="AL270" s="4"/>
      <c r="AM270" s="4"/>
      <c r="AN270" s="4"/>
      <c r="AO270" s="4"/>
      <c r="AP270" s="4"/>
      <c r="AQ270" s="4"/>
      <c r="AR270" s="8"/>
      <c r="AS270" s="8"/>
      <c r="AT270" s="4"/>
      <c r="AU270" s="4"/>
      <c r="AV270" s="4"/>
      <c r="AW270" s="4"/>
      <c r="BM270" s="4"/>
      <c r="BN270" s="4"/>
    </row>
    <row r="271" spans="1:66" s="6" customFormat="1" ht="53.45" customHeight="1" x14ac:dyDescent="0.25">
      <c r="A271" s="20" t="s">
        <v>479</v>
      </c>
      <c r="B271" s="21" t="s">
        <v>223</v>
      </c>
      <c r="C271" s="62" t="s">
        <v>480</v>
      </c>
      <c r="D271" s="74">
        <v>83200</v>
      </c>
      <c r="E271" s="74">
        <v>6800</v>
      </c>
      <c r="F271" s="74">
        <v>6000</v>
      </c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5"/>
      <c r="W271" s="4"/>
      <c r="X271" s="4"/>
      <c r="Y271" s="4"/>
      <c r="Z271" s="4"/>
      <c r="AC271" s="7"/>
      <c r="AD271" s="7"/>
      <c r="AE271" s="7"/>
      <c r="AF271" s="7"/>
      <c r="AG271" s="7"/>
      <c r="AH271" s="7"/>
      <c r="AI271" s="4"/>
      <c r="AJ271" s="4"/>
      <c r="AK271" s="4"/>
      <c r="AL271" s="4"/>
      <c r="AM271" s="4"/>
      <c r="AN271" s="4"/>
      <c r="AO271" s="4"/>
      <c r="AP271" s="4"/>
      <c r="AQ271" s="4"/>
      <c r="AR271" s="8"/>
      <c r="AS271" s="8"/>
      <c r="AT271" s="4"/>
      <c r="AU271" s="4"/>
      <c r="AV271" s="4"/>
      <c r="AW271" s="4"/>
      <c r="BM271" s="4"/>
      <c r="BN271" s="4"/>
    </row>
    <row r="272" spans="1:66" s="6" customFormat="1" ht="18" customHeight="1" x14ac:dyDescent="0.25">
      <c r="A272" s="20" t="s">
        <v>481</v>
      </c>
      <c r="B272" s="21" t="s">
        <v>11</v>
      </c>
      <c r="C272" s="24" t="s">
        <v>482</v>
      </c>
      <c r="D272" s="23">
        <f>+D273</f>
        <v>1882211600</v>
      </c>
      <c r="E272" s="23">
        <f>+E273</f>
        <v>1561459500</v>
      </c>
      <c r="F272" s="23">
        <f>+F273</f>
        <v>1561459500</v>
      </c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5"/>
      <c r="W272" s="4"/>
      <c r="X272" s="4"/>
      <c r="Y272" s="4"/>
      <c r="Z272" s="4"/>
      <c r="AC272" s="7"/>
      <c r="AD272" s="7"/>
      <c r="AE272" s="7"/>
      <c r="AF272" s="7"/>
      <c r="AG272" s="7"/>
      <c r="AH272" s="7"/>
      <c r="AI272" s="4"/>
      <c r="AJ272" s="4"/>
      <c r="AK272" s="4"/>
      <c r="AL272" s="4"/>
      <c r="AM272" s="4"/>
      <c r="AN272" s="4"/>
      <c r="AO272" s="4"/>
      <c r="AP272" s="4"/>
      <c r="AQ272" s="4"/>
      <c r="AR272" s="8"/>
      <c r="AS272" s="8"/>
      <c r="AT272" s="4"/>
      <c r="AU272" s="4"/>
      <c r="AV272" s="4"/>
      <c r="AW272" s="4"/>
      <c r="BM272" s="4"/>
      <c r="BN272" s="4"/>
    </row>
    <row r="273" spans="1:66" s="6" customFormat="1" ht="16.899999999999999" customHeight="1" x14ac:dyDescent="0.25">
      <c r="A273" s="20" t="s">
        <v>483</v>
      </c>
      <c r="B273" s="21" t="s">
        <v>11</v>
      </c>
      <c r="C273" s="24" t="s">
        <v>484</v>
      </c>
      <c r="D273" s="23">
        <f t="shared" ref="D273:F273" si="72">+D274+D275</f>
        <v>1882211600</v>
      </c>
      <c r="E273" s="23">
        <f t="shared" si="72"/>
        <v>1561459500</v>
      </c>
      <c r="F273" s="23">
        <f t="shared" si="72"/>
        <v>1561459500</v>
      </c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5"/>
      <c r="W273" s="4"/>
      <c r="X273" s="4"/>
      <c r="Y273" s="4"/>
      <c r="Z273" s="4"/>
      <c r="AC273" s="7"/>
      <c r="AD273" s="7"/>
      <c r="AE273" s="7"/>
      <c r="AF273" s="7"/>
      <c r="AG273" s="7"/>
      <c r="AH273" s="7"/>
      <c r="AI273" s="4"/>
      <c r="AJ273" s="4"/>
      <c r="AK273" s="4"/>
      <c r="AL273" s="4"/>
      <c r="AM273" s="4"/>
      <c r="AN273" s="4"/>
      <c r="AO273" s="4"/>
      <c r="AP273" s="4"/>
      <c r="AQ273" s="4"/>
      <c r="AR273" s="8"/>
      <c r="AS273" s="8"/>
      <c r="AT273" s="4"/>
      <c r="AU273" s="4"/>
      <c r="AV273" s="4"/>
      <c r="AW273" s="4"/>
      <c r="BM273" s="4"/>
      <c r="BN273" s="4"/>
    </row>
    <row r="274" spans="1:66" s="6" customFormat="1" ht="80.45" customHeight="1" x14ac:dyDescent="0.25">
      <c r="A274" s="70" t="s">
        <v>485</v>
      </c>
      <c r="B274" s="21" t="s">
        <v>411</v>
      </c>
      <c r="C274" s="24" t="s">
        <v>486</v>
      </c>
      <c r="D274" s="41">
        <f>678744000+46758500+140121500+38591000</f>
        <v>904215000</v>
      </c>
      <c r="E274" s="41">
        <f>-17026400+728808600</f>
        <v>711782200</v>
      </c>
      <c r="F274" s="41">
        <f>-17026400+728808600</f>
        <v>711782200</v>
      </c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5"/>
      <c r="W274" s="4"/>
      <c r="X274" s="4"/>
      <c r="Y274" s="4"/>
      <c r="Z274" s="4"/>
      <c r="AC274" s="7"/>
      <c r="AD274" s="7"/>
      <c r="AE274" s="7"/>
      <c r="AF274" s="7"/>
      <c r="AG274" s="7"/>
      <c r="AH274" s="7"/>
      <c r="AI274" s="4"/>
      <c r="AJ274" s="4"/>
      <c r="AK274" s="4"/>
      <c r="AL274" s="4"/>
      <c r="AM274" s="4"/>
      <c r="AN274" s="4"/>
      <c r="AO274" s="4"/>
      <c r="AP274" s="4"/>
      <c r="AQ274" s="4"/>
      <c r="AR274" s="8"/>
      <c r="AS274" s="8"/>
      <c r="AT274" s="4"/>
      <c r="AU274" s="4"/>
      <c r="AV274" s="4"/>
      <c r="AW274" s="4"/>
      <c r="BM274" s="4"/>
      <c r="BN274" s="4"/>
    </row>
    <row r="275" spans="1:66" s="6" customFormat="1" ht="57.6" customHeight="1" x14ac:dyDescent="0.25">
      <c r="A275" s="70" t="s">
        <v>487</v>
      </c>
      <c r="B275" s="21" t="s">
        <v>411</v>
      </c>
      <c r="C275" s="24" t="s">
        <v>484</v>
      </c>
      <c r="D275" s="41">
        <f>798258600+3357500+156249700+20130800</f>
        <v>977996600</v>
      </c>
      <c r="E275" s="41">
        <f>-8404600+858081900</f>
        <v>849677300</v>
      </c>
      <c r="F275" s="41">
        <f>-8404600+858081900</f>
        <v>849677300</v>
      </c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5"/>
      <c r="W275" s="4"/>
      <c r="X275" s="4"/>
      <c r="Y275" s="4"/>
      <c r="Z275" s="4"/>
      <c r="AC275" s="7"/>
      <c r="AD275" s="7"/>
      <c r="AE275" s="7"/>
      <c r="AF275" s="7"/>
      <c r="AG275" s="7"/>
      <c r="AH275" s="7"/>
      <c r="AI275" s="4"/>
      <c r="AJ275" s="4"/>
      <c r="AK275" s="4"/>
      <c r="AL275" s="4"/>
      <c r="AM275" s="4"/>
      <c r="AN275" s="4"/>
      <c r="AO275" s="4"/>
      <c r="AP275" s="4"/>
      <c r="AQ275" s="4"/>
      <c r="AR275" s="8"/>
      <c r="AS275" s="8"/>
      <c r="AT275" s="4"/>
      <c r="AU275" s="4"/>
      <c r="AV275" s="4"/>
      <c r="AW275" s="4"/>
      <c r="BM275" s="4"/>
      <c r="BN275" s="4"/>
    </row>
    <row r="276" spans="1:66" s="6" customFormat="1" ht="17.45" customHeight="1" x14ac:dyDescent="0.25">
      <c r="A276" s="70" t="s">
        <v>488</v>
      </c>
      <c r="B276" s="21" t="s">
        <v>11</v>
      </c>
      <c r="C276" s="24" t="s">
        <v>489</v>
      </c>
      <c r="D276" s="41">
        <f>+D281+D279+D283+D277</f>
        <v>178377900</v>
      </c>
      <c r="E276" s="41">
        <f>+E281+E279+E283</f>
        <v>56271500</v>
      </c>
      <c r="F276" s="41">
        <f>+F281+F279+F283</f>
        <v>56226300</v>
      </c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5"/>
      <c r="W276" s="4"/>
      <c r="X276" s="4"/>
      <c r="Y276" s="4"/>
      <c r="Z276" s="4"/>
      <c r="AC276" s="7"/>
      <c r="AD276" s="7"/>
      <c r="AE276" s="7"/>
      <c r="AF276" s="7"/>
      <c r="AG276" s="7"/>
      <c r="AH276" s="7"/>
      <c r="AI276" s="4"/>
      <c r="AJ276" s="4"/>
      <c r="AK276" s="4"/>
      <c r="AL276" s="4"/>
      <c r="AM276" s="4"/>
      <c r="AN276" s="4"/>
      <c r="AO276" s="4"/>
      <c r="AP276" s="4"/>
      <c r="AQ276" s="4"/>
      <c r="AR276" s="8"/>
      <c r="AS276" s="8"/>
      <c r="AT276" s="4"/>
      <c r="AU276" s="4"/>
      <c r="AV276" s="4"/>
      <c r="AW276" s="4"/>
      <c r="BM276" s="4"/>
      <c r="BN276" s="4"/>
    </row>
    <row r="277" spans="1:66" s="6" customFormat="1" ht="70.900000000000006" customHeight="1" x14ac:dyDescent="0.25">
      <c r="A277" s="70" t="s">
        <v>490</v>
      </c>
      <c r="B277" s="21" t="s">
        <v>11</v>
      </c>
      <c r="C277" s="118" t="s">
        <v>491</v>
      </c>
      <c r="D277" s="41">
        <f>+D278</f>
        <v>1791000</v>
      </c>
      <c r="E277" s="41">
        <f t="shared" ref="E277:F277" si="73">+E278</f>
        <v>0</v>
      </c>
      <c r="F277" s="41">
        <f t="shared" si="73"/>
        <v>0</v>
      </c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5"/>
      <c r="W277" s="4"/>
      <c r="X277" s="4"/>
      <c r="Y277" s="4"/>
      <c r="Z277" s="4"/>
      <c r="AC277" s="7"/>
      <c r="AD277" s="7"/>
      <c r="AE277" s="7"/>
      <c r="AF277" s="7"/>
      <c r="AG277" s="7"/>
      <c r="AH277" s="7"/>
      <c r="AI277" s="4"/>
      <c r="AJ277" s="4"/>
      <c r="AK277" s="4"/>
      <c r="AL277" s="4"/>
      <c r="AM277" s="4"/>
      <c r="AN277" s="4"/>
      <c r="AO277" s="4"/>
      <c r="AP277" s="4"/>
      <c r="AQ277" s="4"/>
      <c r="AR277" s="8"/>
      <c r="AS277" s="8"/>
      <c r="AT277" s="4"/>
      <c r="AU277" s="4"/>
      <c r="AV277" s="4"/>
      <c r="AW277" s="4"/>
      <c r="BM277" s="4"/>
      <c r="BN277" s="4"/>
    </row>
    <row r="278" spans="1:66" s="6" customFormat="1" ht="73.150000000000006" customHeight="1" x14ac:dyDescent="0.25">
      <c r="A278" s="119" t="s">
        <v>490</v>
      </c>
      <c r="B278" s="21" t="s">
        <v>411</v>
      </c>
      <c r="C278" s="118" t="s">
        <v>492</v>
      </c>
      <c r="D278" s="41">
        <v>1791000</v>
      </c>
      <c r="E278" s="41">
        <v>0</v>
      </c>
      <c r="F278" s="41">
        <v>0</v>
      </c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5"/>
      <c r="W278" s="4"/>
      <c r="X278" s="4"/>
      <c r="Y278" s="4"/>
      <c r="Z278" s="4"/>
      <c r="AC278" s="7"/>
      <c r="AD278" s="7"/>
      <c r="AE278" s="7"/>
      <c r="AF278" s="7"/>
      <c r="AG278" s="7"/>
      <c r="AH278" s="7"/>
      <c r="AI278" s="4"/>
      <c r="AJ278" s="4"/>
      <c r="AK278" s="4"/>
      <c r="AL278" s="4"/>
      <c r="AM278" s="4"/>
      <c r="AN278" s="4"/>
      <c r="AO278" s="4"/>
      <c r="AP278" s="4"/>
      <c r="AQ278" s="4"/>
      <c r="AR278" s="8"/>
      <c r="AS278" s="8"/>
      <c r="AT278" s="4"/>
      <c r="AU278" s="4"/>
      <c r="AV278" s="4"/>
      <c r="AW278" s="4"/>
      <c r="BM278" s="4"/>
      <c r="BN278" s="4"/>
    </row>
    <row r="279" spans="1:66" s="6" customFormat="1" ht="55.15" customHeight="1" x14ac:dyDescent="0.25">
      <c r="A279" s="20" t="s">
        <v>493</v>
      </c>
      <c r="B279" s="21" t="s">
        <v>11</v>
      </c>
      <c r="C279" s="24" t="s">
        <v>494</v>
      </c>
      <c r="D279" s="41">
        <f>+D280</f>
        <v>55701000</v>
      </c>
      <c r="E279" s="41">
        <f t="shared" ref="E279:F279" si="74">+E280</f>
        <v>56271500</v>
      </c>
      <c r="F279" s="41">
        <f t="shared" si="74"/>
        <v>56226300</v>
      </c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5"/>
      <c r="W279" s="4"/>
      <c r="X279" s="4"/>
      <c r="Y279" s="4"/>
      <c r="Z279" s="4"/>
      <c r="AC279" s="7"/>
      <c r="AD279" s="7"/>
      <c r="AE279" s="7"/>
      <c r="AF279" s="7"/>
      <c r="AG279" s="7"/>
      <c r="AH279" s="7"/>
      <c r="AI279" s="4"/>
      <c r="AJ279" s="4"/>
      <c r="AK279" s="4"/>
      <c r="AL279" s="4"/>
      <c r="AM279" s="4"/>
      <c r="AN279" s="4"/>
      <c r="AO279" s="4"/>
      <c r="AP279" s="4"/>
      <c r="AQ279" s="4"/>
      <c r="AR279" s="8"/>
      <c r="AS279" s="8"/>
      <c r="AT279" s="4"/>
      <c r="AU279" s="4"/>
      <c r="AV279" s="4"/>
      <c r="AW279" s="4"/>
      <c r="BM279" s="4"/>
      <c r="BN279" s="4"/>
    </row>
    <row r="280" spans="1:66" s="6" customFormat="1" ht="54" customHeight="1" x14ac:dyDescent="0.25">
      <c r="A280" s="20" t="s">
        <v>495</v>
      </c>
      <c r="B280" s="21" t="s">
        <v>411</v>
      </c>
      <c r="C280" s="24" t="s">
        <v>496</v>
      </c>
      <c r="D280" s="41">
        <f>53890000+1811000</f>
        <v>55701000</v>
      </c>
      <c r="E280" s="41">
        <f>53890000+2381500</f>
        <v>56271500</v>
      </c>
      <c r="F280" s="41">
        <f>55110000+1116300</f>
        <v>56226300</v>
      </c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5"/>
      <c r="W280" s="4"/>
      <c r="X280" s="4"/>
      <c r="Y280" s="4"/>
      <c r="Z280" s="4"/>
      <c r="AC280" s="7"/>
      <c r="AD280" s="7"/>
      <c r="AE280" s="7"/>
      <c r="AF280" s="7"/>
      <c r="AG280" s="7"/>
      <c r="AH280" s="7"/>
      <c r="AI280" s="4"/>
      <c r="AJ280" s="4"/>
      <c r="AK280" s="4"/>
      <c r="AL280" s="4"/>
      <c r="AM280" s="4"/>
      <c r="AN280" s="4"/>
      <c r="AO280" s="4"/>
      <c r="AP280" s="4"/>
      <c r="AQ280" s="4"/>
      <c r="AR280" s="8"/>
      <c r="AS280" s="8"/>
      <c r="AT280" s="4"/>
      <c r="AU280" s="4"/>
      <c r="AV280" s="4"/>
      <c r="AW280" s="4"/>
      <c r="BM280" s="4"/>
      <c r="BN280" s="4"/>
    </row>
    <row r="281" spans="1:66" s="6" customFormat="1" ht="55.9" customHeight="1" x14ac:dyDescent="0.25">
      <c r="A281" s="70" t="s">
        <v>497</v>
      </c>
      <c r="B281" s="21" t="s">
        <v>11</v>
      </c>
      <c r="C281" s="24" t="s">
        <v>498</v>
      </c>
      <c r="D281" s="41">
        <f>+D282</f>
        <v>94065000</v>
      </c>
      <c r="E281" s="41">
        <f t="shared" ref="E281:F281" si="75">+E282</f>
        <v>0</v>
      </c>
      <c r="F281" s="41">
        <f t="shared" si="75"/>
        <v>0</v>
      </c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5"/>
      <c r="W281" s="4"/>
      <c r="X281" s="4"/>
      <c r="Y281" s="4"/>
      <c r="Z281" s="4"/>
      <c r="AC281" s="7"/>
      <c r="AD281" s="7"/>
      <c r="AE281" s="7"/>
      <c r="AF281" s="7"/>
      <c r="AG281" s="7"/>
      <c r="AH281" s="7"/>
      <c r="AI281" s="4"/>
      <c r="AJ281" s="4"/>
      <c r="AK281" s="4"/>
      <c r="AL281" s="4"/>
      <c r="AM281" s="4"/>
      <c r="AN281" s="4"/>
      <c r="AO281" s="4"/>
      <c r="AP281" s="4"/>
      <c r="AQ281" s="4"/>
      <c r="AR281" s="8"/>
      <c r="AS281" s="8"/>
      <c r="AT281" s="4"/>
      <c r="AU281" s="4"/>
      <c r="AV281" s="4"/>
      <c r="AW281" s="4"/>
      <c r="BM281" s="4"/>
      <c r="BN281" s="4"/>
    </row>
    <row r="282" spans="1:66" s="6" customFormat="1" ht="69" customHeight="1" x14ac:dyDescent="0.25">
      <c r="A282" s="70" t="s">
        <v>499</v>
      </c>
      <c r="B282" s="21" t="s">
        <v>108</v>
      </c>
      <c r="C282" s="24" t="s">
        <v>500</v>
      </c>
      <c r="D282" s="41">
        <f>80000000+14065000</f>
        <v>94065000</v>
      </c>
      <c r="E282" s="41">
        <v>0</v>
      </c>
      <c r="F282" s="41">
        <v>0</v>
      </c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5"/>
      <c r="W282" s="4"/>
      <c r="X282" s="4"/>
      <c r="Y282" s="4"/>
      <c r="Z282" s="4"/>
      <c r="AC282" s="7"/>
      <c r="AD282" s="7"/>
      <c r="AE282" s="7"/>
      <c r="AF282" s="7"/>
      <c r="AG282" s="7"/>
      <c r="AH282" s="7"/>
      <c r="AI282" s="4"/>
      <c r="AJ282" s="4"/>
      <c r="AK282" s="4"/>
      <c r="AL282" s="4"/>
      <c r="AM282" s="4"/>
      <c r="AN282" s="4"/>
      <c r="AO282" s="4"/>
      <c r="AP282" s="4"/>
      <c r="AQ282" s="4"/>
      <c r="AR282" s="8"/>
      <c r="AS282" s="8"/>
      <c r="AT282" s="4"/>
      <c r="AU282" s="4"/>
      <c r="AV282" s="4"/>
      <c r="AW282" s="4"/>
      <c r="BM282" s="4"/>
      <c r="BN282" s="4"/>
    </row>
    <row r="283" spans="1:66" s="6" customFormat="1" ht="18" customHeight="1" x14ac:dyDescent="0.25">
      <c r="A283" s="20" t="s">
        <v>501</v>
      </c>
      <c r="B283" s="21" t="s">
        <v>11</v>
      </c>
      <c r="C283" s="24" t="s">
        <v>502</v>
      </c>
      <c r="D283" s="41">
        <f>D284</f>
        <v>26820900</v>
      </c>
      <c r="E283" s="41">
        <f t="shared" ref="E283:F283" si="76">E284</f>
        <v>0</v>
      </c>
      <c r="F283" s="41">
        <f t="shared" si="76"/>
        <v>0</v>
      </c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5"/>
      <c r="W283" s="4"/>
      <c r="X283" s="4"/>
      <c r="Y283" s="4"/>
      <c r="Z283" s="4"/>
      <c r="AC283" s="7"/>
      <c r="AD283" s="7"/>
      <c r="AE283" s="7"/>
      <c r="AF283" s="7"/>
      <c r="AG283" s="7"/>
      <c r="AH283" s="7"/>
      <c r="AI283" s="4"/>
      <c r="AJ283" s="4"/>
      <c r="AK283" s="4"/>
      <c r="AL283" s="4"/>
      <c r="AM283" s="4"/>
      <c r="AN283" s="4"/>
      <c r="AO283" s="4"/>
      <c r="AP283" s="4"/>
      <c r="AQ283" s="4"/>
      <c r="AR283" s="8"/>
      <c r="AS283" s="8"/>
      <c r="AT283" s="4"/>
      <c r="AU283" s="4"/>
      <c r="AV283" s="4"/>
      <c r="AW283" s="4"/>
      <c r="BM283" s="4"/>
      <c r="BN283" s="4"/>
    </row>
    <row r="284" spans="1:66" s="6" customFormat="1" ht="70.150000000000006" customHeight="1" x14ac:dyDescent="0.25">
      <c r="A284" s="87" t="s">
        <v>503</v>
      </c>
      <c r="B284" s="21" t="s">
        <v>393</v>
      </c>
      <c r="C284" s="24" t="s">
        <v>504</v>
      </c>
      <c r="D284" s="41">
        <v>26820900</v>
      </c>
      <c r="E284" s="41">
        <v>0</v>
      </c>
      <c r="F284" s="41">
        <v>0</v>
      </c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5"/>
      <c r="W284" s="4"/>
      <c r="X284" s="4"/>
      <c r="Y284" s="4"/>
      <c r="Z284" s="4"/>
      <c r="AC284" s="7"/>
      <c r="AD284" s="7"/>
      <c r="AE284" s="7"/>
      <c r="AF284" s="7"/>
      <c r="AG284" s="7"/>
      <c r="AH284" s="7"/>
      <c r="AI284" s="4"/>
      <c r="AJ284" s="4"/>
      <c r="AK284" s="4"/>
      <c r="AL284" s="4"/>
      <c r="AM284" s="4"/>
      <c r="AN284" s="4"/>
      <c r="AO284" s="4"/>
      <c r="AP284" s="4"/>
      <c r="AQ284" s="4"/>
      <c r="AR284" s="8"/>
      <c r="AS284" s="8"/>
      <c r="AT284" s="4"/>
      <c r="AU284" s="4"/>
      <c r="AV284" s="4"/>
      <c r="AW284" s="4"/>
      <c r="BM284" s="4"/>
      <c r="BN284" s="4"/>
    </row>
    <row r="285" spans="1:66" s="6" customFormat="1" ht="19.149999999999999" customHeight="1" x14ac:dyDescent="0.25">
      <c r="A285" s="70" t="s">
        <v>505</v>
      </c>
      <c r="B285" s="21" t="s">
        <v>11</v>
      </c>
      <c r="C285" s="47" t="s">
        <v>506</v>
      </c>
      <c r="D285" s="41">
        <f t="shared" ref="D285:F286" si="77">+D286</f>
        <v>1269800</v>
      </c>
      <c r="E285" s="41">
        <f t="shared" si="77"/>
        <v>0</v>
      </c>
      <c r="F285" s="41">
        <f t="shared" si="77"/>
        <v>0</v>
      </c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5"/>
      <c r="W285" s="4"/>
      <c r="X285" s="4"/>
      <c r="Y285" s="4"/>
      <c r="Z285" s="4"/>
      <c r="AC285" s="7"/>
      <c r="AD285" s="7"/>
      <c r="AE285" s="7"/>
      <c r="AF285" s="7"/>
      <c r="AG285" s="7"/>
      <c r="AH285" s="7"/>
      <c r="AI285" s="4"/>
      <c r="AJ285" s="4"/>
      <c r="AK285" s="4"/>
      <c r="AL285" s="4"/>
      <c r="AM285" s="4"/>
      <c r="AN285" s="4"/>
      <c r="AO285" s="4"/>
      <c r="AP285" s="4"/>
      <c r="AQ285" s="4"/>
      <c r="AR285" s="8"/>
      <c r="AS285" s="8"/>
      <c r="AT285" s="4"/>
      <c r="AU285" s="4"/>
      <c r="AV285" s="4"/>
      <c r="AW285" s="4"/>
      <c r="BM285" s="4"/>
      <c r="BN285" s="4"/>
    </row>
    <row r="286" spans="1:66" s="6" customFormat="1" ht="30.6" customHeight="1" x14ac:dyDescent="0.25">
      <c r="A286" s="70" t="s">
        <v>507</v>
      </c>
      <c r="B286" s="21" t="s">
        <v>11</v>
      </c>
      <c r="C286" s="63" t="s">
        <v>508</v>
      </c>
      <c r="D286" s="41">
        <f t="shared" si="77"/>
        <v>1269800</v>
      </c>
      <c r="E286" s="41">
        <f t="shared" si="77"/>
        <v>0</v>
      </c>
      <c r="F286" s="41">
        <f t="shared" si="77"/>
        <v>0</v>
      </c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5"/>
      <c r="W286" s="4"/>
      <c r="X286" s="4"/>
      <c r="Y286" s="4"/>
      <c r="Z286" s="4"/>
      <c r="AC286" s="7"/>
      <c r="AD286" s="7"/>
      <c r="AE286" s="7"/>
      <c r="AF286" s="7"/>
      <c r="AG286" s="7"/>
      <c r="AH286" s="7"/>
      <c r="AI286" s="4"/>
      <c r="AJ286" s="4"/>
      <c r="AK286" s="4"/>
      <c r="AL286" s="4"/>
      <c r="AM286" s="4"/>
      <c r="AN286" s="4"/>
      <c r="AO286" s="4"/>
      <c r="AP286" s="4"/>
      <c r="AQ286" s="4"/>
      <c r="AR286" s="8"/>
      <c r="AS286" s="8"/>
      <c r="AT286" s="4"/>
      <c r="AU286" s="4"/>
      <c r="AV286" s="4"/>
      <c r="AW286" s="4"/>
      <c r="BM286" s="4"/>
      <c r="BN286" s="4"/>
    </row>
    <row r="287" spans="1:66" s="6" customFormat="1" ht="31.15" customHeight="1" x14ac:dyDescent="0.25">
      <c r="A287" s="70" t="s">
        <v>507</v>
      </c>
      <c r="B287" s="21" t="s">
        <v>223</v>
      </c>
      <c r="C287" s="24" t="s">
        <v>509</v>
      </c>
      <c r="D287" s="41">
        <f>300000+352800+80000+500000+15000+22000</f>
        <v>1269800</v>
      </c>
      <c r="E287" s="41">
        <v>0</v>
      </c>
      <c r="F287" s="41">
        <v>0</v>
      </c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5"/>
      <c r="W287" s="4"/>
      <c r="X287" s="4"/>
      <c r="Y287" s="4"/>
      <c r="Z287" s="4"/>
      <c r="AC287" s="7"/>
      <c r="AD287" s="7"/>
      <c r="AE287" s="7"/>
      <c r="AF287" s="7"/>
      <c r="AG287" s="7"/>
      <c r="AH287" s="7"/>
      <c r="AI287" s="4"/>
      <c r="AJ287" s="4"/>
      <c r="AK287" s="4"/>
      <c r="AL287" s="4"/>
      <c r="AM287" s="4"/>
      <c r="AN287" s="4"/>
      <c r="AO287" s="4"/>
      <c r="AP287" s="4"/>
      <c r="AQ287" s="4"/>
      <c r="AR287" s="8"/>
      <c r="AS287" s="8"/>
      <c r="AT287" s="4"/>
      <c r="AU287" s="4"/>
      <c r="AV287" s="4"/>
      <c r="AW287" s="4"/>
      <c r="BM287" s="4"/>
      <c r="BN287" s="4"/>
    </row>
    <row r="288" spans="1:66" s="6" customFormat="1" ht="42.6" customHeight="1" x14ac:dyDescent="0.25">
      <c r="A288" s="46" t="s">
        <v>510</v>
      </c>
      <c r="B288" s="21" t="s">
        <v>11</v>
      </c>
      <c r="C288" s="47" t="s">
        <v>511</v>
      </c>
      <c r="D288" s="41">
        <f t="shared" ref="D288:F290" si="78">+D289</f>
        <v>209592.99</v>
      </c>
      <c r="E288" s="41">
        <f t="shared" si="78"/>
        <v>0</v>
      </c>
      <c r="F288" s="41">
        <f t="shared" si="78"/>
        <v>0</v>
      </c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5"/>
      <c r="W288" s="4"/>
      <c r="X288" s="4"/>
      <c r="Y288" s="4"/>
      <c r="Z288" s="4"/>
      <c r="AC288" s="7"/>
      <c r="AD288" s="7"/>
      <c r="AE288" s="7"/>
      <c r="AF288" s="7"/>
      <c r="AG288" s="7"/>
      <c r="AH288" s="7"/>
      <c r="AI288" s="4"/>
      <c r="AJ288" s="4"/>
      <c r="AK288" s="4"/>
      <c r="AL288" s="4"/>
      <c r="AM288" s="4"/>
      <c r="AN288" s="4"/>
      <c r="AO288" s="4"/>
      <c r="AP288" s="4"/>
      <c r="AQ288" s="4"/>
      <c r="AR288" s="8"/>
      <c r="AS288" s="8"/>
      <c r="AT288" s="4"/>
      <c r="AU288" s="4"/>
      <c r="AV288" s="4"/>
      <c r="AW288" s="4"/>
      <c r="BM288" s="4"/>
      <c r="BN288" s="4"/>
    </row>
    <row r="289" spans="1:66" s="6" customFormat="1" ht="70.900000000000006" customHeight="1" x14ac:dyDescent="0.25">
      <c r="A289" s="46" t="s">
        <v>512</v>
      </c>
      <c r="B289" s="21" t="s">
        <v>11</v>
      </c>
      <c r="C289" s="47" t="s">
        <v>513</v>
      </c>
      <c r="D289" s="41">
        <f t="shared" si="78"/>
        <v>209592.99</v>
      </c>
      <c r="E289" s="41">
        <f t="shared" si="78"/>
        <v>0</v>
      </c>
      <c r="F289" s="41">
        <f t="shared" si="78"/>
        <v>0</v>
      </c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5"/>
      <c r="W289" s="4"/>
      <c r="X289" s="4"/>
      <c r="Y289" s="4"/>
      <c r="Z289" s="4"/>
      <c r="AC289" s="7"/>
      <c r="AD289" s="7"/>
      <c r="AE289" s="7"/>
      <c r="AF289" s="7"/>
      <c r="AG289" s="7"/>
      <c r="AH289" s="7"/>
      <c r="AI289" s="4"/>
      <c r="AJ289" s="4"/>
      <c r="AK289" s="4"/>
      <c r="AL289" s="4"/>
      <c r="AM289" s="4"/>
      <c r="AN289" s="4"/>
      <c r="AO289" s="4"/>
      <c r="AP289" s="4"/>
      <c r="AQ289" s="4"/>
      <c r="AR289" s="8"/>
      <c r="AS289" s="8"/>
      <c r="AT289" s="4"/>
      <c r="AU289" s="4"/>
      <c r="AV289" s="4"/>
      <c r="AW289" s="4"/>
      <c r="BM289" s="4"/>
      <c r="BN289" s="4"/>
    </row>
    <row r="290" spans="1:66" s="6" customFormat="1" ht="63.75" x14ac:dyDescent="0.25">
      <c r="A290" s="46" t="s">
        <v>514</v>
      </c>
      <c r="B290" s="21" t="s">
        <v>11</v>
      </c>
      <c r="C290" s="47" t="s">
        <v>515</v>
      </c>
      <c r="D290" s="41">
        <f t="shared" si="78"/>
        <v>209592.99</v>
      </c>
      <c r="E290" s="41">
        <f t="shared" si="78"/>
        <v>0</v>
      </c>
      <c r="F290" s="41">
        <f t="shared" si="78"/>
        <v>0</v>
      </c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5"/>
      <c r="W290" s="4"/>
      <c r="X290" s="4"/>
      <c r="Y290" s="4"/>
      <c r="Z290" s="4"/>
      <c r="AC290" s="7"/>
      <c r="AD290" s="7"/>
      <c r="AE290" s="7"/>
      <c r="AF290" s="7"/>
      <c r="AG290" s="7"/>
      <c r="AH290" s="7"/>
      <c r="AI290" s="4"/>
      <c r="AJ290" s="4"/>
      <c r="AK290" s="4"/>
      <c r="AL290" s="4"/>
      <c r="AM290" s="4"/>
      <c r="AN290" s="4"/>
      <c r="AO290" s="4"/>
      <c r="AP290" s="4"/>
      <c r="AQ290" s="4"/>
      <c r="AR290" s="8"/>
      <c r="AS290" s="8"/>
      <c r="AT290" s="4"/>
      <c r="AU290" s="4"/>
      <c r="AV290" s="4"/>
      <c r="AW290" s="4"/>
      <c r="BM290" s="4"/>
      <c r="BN290" s="4"/>
    </row>
    <row r="291" spans="1:66" s="6" customFormat="1" ht="29.45" customHeight="1" x14ac:dyDescent="0.25">
      <c r="A291" s="46" t="s">
        <v>516</v>
      </c>
      <c r="B291" s="21" t="s">
        <v>11</v>
      </c>
      <c r="C291" s="47" t="s">
        <v>517</v>
      </c>
      <c r="D291" s="41">
        <f>+D292+D293+D294</f>
        <v>209592.99</v>
      </c>
      <c r="E291" s="41">
        <f t="shared" ref="E291:F291" si="79">+E292+E293+E294</f>
        <v>0</v>
      </c>
      <c r="F291" s="41">
        <f t="shared" si="79"/>
        <v>0</v>
      </c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5"/>
      <c r="W291" s="4"/>
      <c r="X291" s="4"/>
      <c r="Y291" s="4"/>
      <c r="Z291" s="4"/>
      <c r="AC291" s="7"/>
      <c r="AD291" s="7"/>
      <c r="AE291" s="7"/>
      <c r="AF291" s="7"/>
      <c r="AG291" s="7"/>
      <c r="AH291" s="7"/>
      <c r="AI291" s="4"/>
      <c r="AJ291" s="4"/>
      <c r="AK291" s="4"/>
      <c r="AL291" s="4"/>
      <c r="AM291" s="4"/>
      <c r="AN291" s="4"/>
      <c r="AO291" s="4"/>
      <c r="AP291" s="4"/>
      <c r="AQ291" s="4"/>
      <c r="AR291" s="8"/>
      <c r="AS291" s="8"/>
      <c r="AT291" s="4"/>
      <c r="AU291" s="4"/>
      <c r="AV291" s="4"/>
      <c r="AW291" s="4"/>
      <c r="BM291" s="4"/>
      <c r="BN291" s="4"/>
    </row>
    <row r="292" spans="1:66" s="6" customFormat="1" ht="31.15" customHeight="1" x14ac:dyDescent="0.25">
      <c r="A292" s="46" t="s">
        <v>518</v>
      </c>
      <c r="B292" s="21" t="s">
        <v>222</v>
      </c>
      <c r="C292" s="47" t="s">
        <v>519</v>
      </c>
      <c r="D292" s="41">
        <v>46373.57</v>
      </c>
      <c r="E292" s="41">
        <v>0</v>
      </c>
      <c r="F292" s="41">
        <v>0</v>
      </c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5"/>
      <c r="W292" s="4"/>
      <c r="X292" s="4"/>
      <c r="Y292" s="4"/>
      <c r="Z292" s="4"/>
      <c r="AC292" s="7"/>
      <c r="AD292" s="7"/>
      <c r="AE292" s="7"/>
      <c r="AF292" s="7"/>
      <c r="AG292" s="7"/>
      <c r="AH292" s="7"/>
      <c r="AI292" s="4"/>
      <c r="AJ292" s="4"/>
      <c r="AK292" s="4"/>
      <c r="AL292" s="4"/>
      <c r="AM292" s="4"/>
      <c r="AN292" s="4"/>
      <c r="AO292" s="4"/>
      <c r="AP292" s="4"/>
      <c r="AQ292" s="4"/>
      <c r="AR292" s="8"/>
      <c r="AS292" s="8"/>
      <c r="AT292" s="4"/>
      <c r="AU292" s="4"/>
      <c r="AV292" s="4"/>
      <c r="AW292" s="4"/>
      <c r="BM292" s="4"/>
      <c r="BN292" s="4"/>
    </row>
    <row r="293" spans="1:66" s="6" customFormat="1" ht="30.6" customHeight="1" x14ac:dyDescent="0.25">
      <c r="A293" s="46" t="s">
        <v>520</v>
      </c>
      <c r="B293" s="21" t="s">
        <v>223</v>
      </c>
      <c r="C293" s="47" t="s">
        <v>519</v>
      </c>
      <c r="D293" s="41">
        <f>40527.32+0.51+20315.55+30168.98+15191</f>
        <v>106203.36</v>
      </c>
      <c r="E293" s="41">
        <v>0</v>
      </c>
      <c r="F293" s="41">
        <v>0</v>
      </c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5"/>
      <c r="W293" s="4"/>
      <c r="X293" s="4"/>
      <c r="Y293" s="4"/>
      <c r="Z293" s="4"/>
      <c r="AC293" s="7"/>
      <c r="AD293" s="7"/>
      <c r="AE293" s="7"/>
      <c r="AF293" s="7"/>
      <c r="AG293" s="7"/>
      <c r="AH293" s="7"/>
      <c r="AI293" s="4"/>
      <c r="AJ293" s="4"/>
      <c r="AK293" s="4"/>
      <c r="AL293" s="4"/>
      <c r="AM293" s="4"/>
      <c r="AN293" s="4"/>
      <c r="AO293" s="4"/>
      <c r="AP293" s="4"/>
      <c r="AQ293" s="4"/>
      <c r="AR293" s="8"/>
      <c r="AS293" s="8"/>
      <c r="AT293" s="4"/>
      <c r="AU293" s="4"/>
      <c r="AV293" s="4"/>
      <c r="AW293" s="4"/>
      <c r="BM293" s="4"/>
      <c r="BN293" s="4"/>
    </row>
    <row r="294" spans="1:66" s="6" customFormat="1" ht="30.6" customHeight="1" x14ac:dyDescent="0.25">
      <c r="A294" s="46" t="s">
        <v>520</v>
      </c>
      <c r="B294" s="21" t="s">
        <v>108</v>
      </c>
      <c r="C294" s="47" t="s">
        <v>521</v>
      </c>
      <c r="D294" s="41">
        <f>44058.6+6591.44+6346.63+19.39</f>
        <v>57016.06</v>
      </c>
      <c r="E294" s="41">
        <v>0</v>
      </c>
      <c r="F294" s="41">
        <v>0</v>
      </c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5"/>
      <c r="W294" s="4"/>
      <c r="X294" s="4"/>
      <c r="Y294" s="4"/>
      <c r="Z294" s="4"/>
      <c r="AC294" s="7"/>
      <c r="AD294" s="7"/>
      <c r="AE294" s="7"/>
      <c r="AF294" s="7"/>
      <c r="AG294" s="7"/>
      <c r="AH294" s="7"/>
      <c r="AI294" s="4"/>
      <c r="AJ294" s="4"/>
      <c r="AK294" s="4"/>
      <c r="AL294" s="4"/>
      <c r="AM294" s="4"/>
      <c r="AN294" s="4"/>
      <c r="AO294" s="4"/>
      <c r="AP294" s="4"/>
      <c r="AQ294" s="4"/>
      <c r="AR294" s="8"/>
      <c r="AS294" s="8"/>
      <c r="AT294" s="4"/>
      <c r="AU294" s="4"/>
      <c r="AV294" s="4"/>
      <c r="AW294" s="4"/>
      <c r="BM294" s="4"/>
      <c r="BN294" s="4"/>
    </row>
    <row r="295" spans="1:66" s="6" customFormat="1" ht="31.15" customHeight="1" x14ac:dyDescent="0.25">
      <c r="A295" s="55" t="s">
        <v>522</v>
      </c>
      <c r="B295" s="21" t="s">
        <v>11</v>
      </c>
      <c r="C295" s="88" t="s">
        <v>523</v>
      </c>
      <c r="D295" s="41">
        <f>+D296</f>
        <v>-683444.86999999988</v>
      </c>
      <c r="E295" s="41">
        <f t="shared" ref="E295:F295" si="80">+E296</f>
        <v>0</v>
      </c>
      <c r="F295" s="41">
        <f t="shared" si="80"/>
        <v>0</v>
      </c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5"/>
      <c r="W295" s="4"/>
      <c r="X295" s="4"/>
      <c r="Y295" s="4"/>
      <c r="Z295" s="4"/>
      <c r="AC295" s="7"/>
      <c r="AD295" s="7"/>
      <c r="AE295" s="7"/>
      <c r="AF295" s="7"/>
      <c r="AG295" s="7"/>
      <c r="AH295" s="7"/>
      <c r="AI295" s="4"/>
      <c r="AJ295" s="4"/>
      <c r="AK295" s="4"/>
      <c r="AL295" s="4"/>
      <c r="AM295" s="4"/>
      <c r="AN295" s="4"/>
      <c r="AO295" s="4"/>
      <c r="AP295" s="4"/>
      <c r="AQ295" s="4"/>
      <c r="AR295" s="8"/>
      <c r="AS295" s="8"/>
      <c r="AT295" s="4"/>
      <c r="AU295" s="4"/>
      <c r="AV295" s="4"/>
      <c r="AW295" s="4"/>
      <c r="BM295" s="4"/>
      <c r="BN295" s="4"/>
    </row>
    <row r="296" spans="1:66" s="6" customFormat="1" ht="43.15" customHeight="1" x14ac:dyDescent="0.25">
      <c r="A296" s="55" t="s">
        <v>524</v>
      </c>
      <c r="B296" s="21" t="s">
        <v>11</v>
      </c>
      <c r="C296" s="88" t="s">
        <v>525</v>
      </c>
      <c r="D296" s="41">
        <f>+D298+D299+D297+D300</f>
        <v>-683444.86999999988</v>
      </c>
      <c r="E296" s="41">
        <f t="shared" ref="E296:F296" si="81">+E298+E299+E297+E300</f>
        <v>0</v>
      </c>
      <c r="F296" s="41">
        <f t="shared" si="81"/>
        <v>0</v>
      </c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5"/>
      <c r="W296" s="4"/>
      <c r="X296" s="4"/>
      <c r="Y296" s="4"/>
      <c r="Z296" s="4"/>
      <c r="AC296" s="7"/>
      <c r="AD296" s="7"/>
      <c r="AE296" s="7"/>
      <c r="AF296" s="7"/>
      <c r="AG296" s="7"/>
      <c r="AH296" s="7"/>
      <c r="AI296" s="4"/>
      <c r="AJ296" s="4"/>
      <c r="AK296" s="4"/>
      <c r="AL296" s="4"/>
      <c r="AM296" s="4"/>
      <c r="AN296" s="4"/>
      <c r="AO296" s="4"/>
      <c r="AP296" s="4"/>
      <c r="AQ296" s="4"/>
      <c r="AR296" s="8"/>
      <c r="AS296" s="8"/>
      <c r="AT296" s="4"/>
      <c r="AU296" s="4"/>
      <c r="AV296" s="4"/>
      <c r="AW296" s="4"/>
      <c r="BM296" s="4"/>
      <c r="BN296" s="4"/>
    </row>
    <row r="297" spans="1:66" s="6" customFormat="1" ht="43.15" customHeight="1" x14ac:dyDescent="0.25">
      <c r="A297" s="89" t="s">
        <v>526</v>
      </c>
      <c r="B297" s="21" t="s">
        <v>222</v>
      </c>
      <c r="C297" s="90" t="s">
        <v>527</v>
      </c>
      <c r="D297" s="41">
        <v>-46373.57</v>
      </c>
      <c r="E297" s="41">
        <v>0</v>
      </c>
      <c r="F297" s="41">
        <v>0</v>
      </c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5"/>
      <c r="W297" s="4"/>
      <c r="X297" s="4"/>
      <c r="Y297" s="4"/>
      <c r="Z297" s="4"/>
      <c r="AC297" s="7"/>
      <c r="AD297" s="7"/>
      <c r="AE297" s="7"/>
      <c r="AF297" s="7"/>
      <c r="AG297" s="7"/>
      <c r="AH297" s="7"/>
      <c r="AI297" s="4"/>
      <c r="AJ297" s="4"/>
      <c r="AK297" s="4"/>
      <c r="AL297" s="4"/>
      <c r="AM297" s="4"/>
      <c r="AN297" s="4"/>
      <c r="AO297" s="4"/>
      <c r="AP297" s="4"/>
      <c r="AQ297" s="4"/>
      <c r="AR297" s="8"/>
      <c r="AS297" s="8"/>
      <c r="AT297" s="4"/>
      <c r="AU297" s="4"/>
      <c r="AV297" s="4"/>
      <c r="AW297" s="4"/>
      <c r="BM297" s="4"/>
      <c r="BN297" s="4"/>
    </row>
    <row r="298" spans="1:66" s="6" customFormat="1" ht="42.6" customHeight="1" x14ac:dyDescent="0.25">
      <c r="A298" s="89" t="s">
        <v>526</v>
      </c>
      <c r="B298" s="21" t="s">
        <v>411</v>
      </c>
      <c r="C298" s="90" t="s">
        <v>527</v>
      </c>
      <c r="D298" s="41">
        <f>-648.15-2207-690.25-2437.61</f>
        <v>-5983.01</v>
      </c>
      <c r="E298" s="41">
        <v>0</v>
      </c>
      <c r="F298" s="41">
        <v>0</v>
      </c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5"/>
      <c r="W298" s="4"/>
      <c r="X298" s="4"/>
      <c r="Y298" s="4"/>
      <c r="Z298" s="4"/>
      <c r="AC298" s="7"/>
      <c r="AD298" s="7"/>
      <c r="AE298" s="7"/>
      <c r="AF298" s="7"/>
      <c r="AG298" s="7"/>
      <c r="AH298" s="7"/>
      <c r="AI298" s="4"/>
      <c r="AJ298" s="4"/>
      <c r="AK298" s="4"/>
      <c r="AL298" s="4"/>
      <c r="AM298" s="4"/>
      <c r="AN298" s="4"/>
      <c r="AO298" s="4"/>
      <c r="AP298" s="4"/>
      <c r="AQ298" s="4"/>
      <c r="AR298" s="8"/>
      <c r="AS298" s="8"/>
      <c r="AT298" s="4"/>
      <c r="AU298" s="4"/>
      <c r="AV298" s="4"/>
      <c r="AW298" s="4"/>
      <c r="BM298" s="4"/>
      <c r="BN298" s="4"/>
    </row>
    <row r="299" spans="1:66" s="6" customFormat="1" ht="43.15" customHeight="1" x14ac:dyDescent="0.25">
      <c r="A299" s="89" t="s">
        <v>526</v>
      </c>
      <c r="B299" s="21" t="s">
        <v>223</v>
      </c>
      <c r="C299" s="90" t="s">
        <v>527</v>
      </c>
      <c r="D299" s="41">
        <f>-0.94-24977.16-0.17-413573.6-29317-40527.83-20315.55-30168.98-15191</f>
        <v>-574072.23</v>
      </c>
      <c r="E299" s="41">
        <v>0</v>
      </c>
      <c r="F299" s="41">
        <v>0</v>
      </c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5"/>
      <c r="W299" s="4"/>
      <c r="X299" s="4"/>
      <c r="Y299" s="4"/>
      <c r="Z299" s="4"/>
      <c r="AC299" s="7"/>
      <c r="AD299" s="7"/>
      <c r="AE299" s="7"/>
      <c r="AF299" s="7"/>
      <c r="AG299" s="7"/>
      <c r="AH299" s="7"/>
      <c r="AI299" s="4"/>
      <c r="AJ299" s="4"/>
      <c r="AK299" s="4"/>
      <c r="AL299" s="4"/>
      <c r="AM299" s="4"/>
      <c r="AN299" s="4"/>
      <c r="AO299" s="4"/>
      <c r="AP299" s="4"/>
      <c r="AQ299" s="4"/>
      <c r="AR299" s="8"/>
      <c r="AS299" s="8"/>
      <c r="AT299" s="4"/>
      <c r="AU299" s="4"/>
      <c r="AV299" s="4"/>
      <c r="AW299" s="4"/>
      <c r="BM299" s="4"/>
      <c r="BN299" s="4"/>
    </row>
    <row r="300" spans="1:66" s="6" customFormat="1" ht="43.15" customHeight="1" x14ac:dyDescent="0.25">
      <c r="A300" s="89" t="s">
        <v>526</v>
      </c>
      <c r="B300" s="21" t="s">
        <v>108</v>
      </c>
      <c r="C300" s="90" t="s">
        <v>527</v>
      </c>
      <c r="D300" s="41">
        <f>-44058.6-6591.44-6346.63-19.39</f>
        <v>-57016.06</v>
      </c>
      <c r="E300" s="41">
        <v>0</v>
      </c>
      <c r="F300" s="41">
        <v>0</v>
      </c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5"/>
      <c r="W300" s="4"/>
      <c r="X300" s="4"/>
      <c r="Y300" s="4"/>
      <c r="Z300" s="4"/>
      <c r="AC300" s="7"/>
      <c r="AD300" s="7"/>
      <c r="AE300" s="7"/>
      <c r="AF300" s="7"/>
      <c r="AG300" s="7"/>
      <c r="AH300" s="7"/>
      <c r="AI300" s="4"/>
      <c r="AJ300" s="4"/>
      <c r="AK300" s="4"/>
      <c r="AL300" s="4"/>
      <c r="AM300" s="4"/>
      <c r="AN300" s="4"/>
      <c r="AO300" s="4"/>
      <c r="AP300" s="4"/>
      <c r="AQ300" s="4"/>
      <c r="AR300" s="8"/>
      <c r="AS300" s="8"/>
      <c r="AT300" s="4"/>
      <c r="AU300" s="4"/>
      <c r="AV300" s="4"/>
      <c r="AW300" s="4"/>
      <c r="BM300" s="4"/>
      <c r="BN300" s="4"/>
    </row>
    <row r="301" spans="1:66" s="8" customFormat="1" ht="16.149999999999999" customHeight="1" x14ac:dyDescent="0.25">
      <c r="A301" s="20" t="s">
        <v>528</v>
      </c>
      <c r="B301" s="21"/>
      <c r="C301" s="24"/>
      <c r="D301" s="23">
        <f>+D9+D210</f>
        <v>4150932591.0099998</v>
      </c>
      <c r="E301" s="23">
        <f>+E9+E210</f>
        <v>3166124012.8499999</v>
      </c>
      <c r="F301" s="23">
        <f>+F9+F210</f>
        <v>3140424585.1300001</v>
      </c>
      <c r="V301" s="91"/>
      <c r="AC301" s="7"/>
      <c r="AD301" s="92"/>
      <c r="AE301" s="7"/>
      <c r="AF301" s="7"/>
      <c r="AG301" s="7"/>
      <c r="AH301" s="7"/>
    </row>
    <row r="302" spans="1:66" s="98" customFormat="1" x14ac:dyDescent="0.25">
      <c r="A302" s="93"/>
      <c r="B302" s="94"/>
      <c r="C302" s="95"/>
      <c r="D302" s="96"/>
      <c r="E302" s="94"/>
      <c r="F302" s="97"/>
      <c r="G302" s="97"/>
      <c r="H302" s="97"/>
      <c r="I302" s="97"/>
      <c r="J302" s="97"/>
      <c r="K302" s="97"/>
      <c r="L302" s="97"/>
      <c r="M302" s="97"/>
      <c r="N302" s="97"/>
      <c r="O302" s="97"/>
      <c r="P302" s="97"/>
      <c r="Q302" s="97"/>
      <c r="R302" s="97"/>
      <c r="S302" s="97"/>
      <c r="T302" s="97"/>
      <c r="U302" s="97"/>
      <c r="V302" s="97"/>
      <c r="W302" s="97"/>
      <c r="X302" s="97"/>
      <c r="Y302" s="97"/>
      <c r="Z302" s="97"/>
      <c r="AI302" s="97"/>
      <c r="AJ302" s="97"/>
      <c r="AK302" s="97"/>
      <c r="AL302" s="97"/>
      <c r="AM302" s="97"/>
      <c r="AN302" s="97"/>
      <c r="AO302" s="97"/>
      <c r="AP302" s="97"/>
      <c r="AQ302" s="97"/>
      <c r="AR302" s="97"/>
      <c r="AS302" s="97"/>
      <c r="AT302" s="97"/>
      <c r="AU302" s="97"/>
      <c r="AV302" s="97"/>
      <c r="AW302" s="97"/>
      <c r="BM302" s="97"/>
      <c r="BN302" s="97"/>
    </row>
    <row r="303" spans="1:66" x14ac:dyDescent="0.25">
      <c r="B303" s="100"/>
      <c r="D303" s="101"/>
      <c r="E303" s="102"/>
    </row>
    <row r="304" spans="1:66" ht="18.75" x14ac:dyDescent="0.3">
      <c r="A304" s="104"/>
      <c r="B304" s="100"/>
      <c r="D304" s="126"/>
      <c r="E304" s="126"/>
      <c r="J304" s="120"/>
      <c r="K304" s="120"/>
    </row>
    <row r="305" spans="1:11" ht="18.75" x14ac:dyDescent="0.3">
      <c r="A305" s="127" t="s">
        <v>529</v>
      </c>
      <c r="B305" s="127"/>
      <c r="C305" s="105"/>
      <c r="D305" s="122" t="s">
        <v>530</v>
      </c>
      <c r="E305" s="122"/>
      <c r="F305" s="122"/>
    </row>
    <row r="306" spans="1:11" ht="18.75" x14ac:dyDescent="0.3">
      <c r="A306" s="106"/>
      <c r="B306" s="106"/>
      <c r="C306" s="105"/>
      <c r="D306" s="107"/>
      <c r="E306" s="108"/>
    </row>
    <row r="307" spans="1:11" ht="18.75" x14ac:dyDescent="0.3">
      <c r="A307" s="109"/>
      <c r="B307" s="108"/>
      <c r="C307" s="110"/>
      <c r="D307" s="107"/>
      <c r="E307" s="108"/>
      <c r="J307" s="120"/>
      <c r="K307" s="120"/>
    </row>
    <row r="308" spans="1:11" ht="18.75" x14ac:dyDescent="0.3">
      <c r="A308" s="121" t="s">
        <v>531</v>
      </c>
      <c r="B308" s="121"/>
      <c r="C308" s="110"/>
      <c r="D308" s="122" t="s">
        <v>532</v>
      </c>
      <c r="E308" s="122"/>
      <c r="F308" s="122"/>
    </row>
  </sheetData>
  <mergeCells count="25">
    <mergeCell ref="AR98:AR104"/>
    <mergeCell ref="D1:F2"/>
    <mergeCell ref="BK1:BL3"/>
    <mergeCell ref="D3:F3"/>
    <mergeCell ref="A5:F5"/>
    <mergeCell ref="A7:A8"/>
    <mergeCell ref="B7:C7"/>
    <mergeCell ref="D7:D8"/>
    <mergeCell ref="E7:E8"/>
    <mergeCell ref="F7:F8"/>
    <mergeCell ref="T9:V9"/>
    <mergeCell ref="T11:V11"/>
    <mergeCell ref="AM18:AM26"/>
    <mergeCell ref="L98:L104"/>
    <mergeCell ref="AM98:AM103"/>
    <mergeCell ref="J307:K307"/>
    <mergeCell ref="A308:B308"/>
    <mergeCell ref="D308:F308"/>
    <mergeCell ref="AY260:BD260"/>
    <mergeCell ref="AZ261:BE261"/>
    <mergeCell ref="AY269:BD269"/>
    <mergeCell ref="D304:E304"/>
    <mergeCell ref="J304:K304"/>
    <mergeCell ref="A305:B305"/>
    <mergeCell ref="D305:F305"/>
  </mergeCells>
  <pageMargins left="1.1811023622047245" right="0.39370078740157483" top="0.59055118110236227" bottom="0.78740157480314965" header="0" footer="0"/>
  <pageSetup paperSize="9" scale="6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2022-12-22T09:06:54Z</dcterms:modified>
</cp:coreProperties>
</file>