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345" windowWidth="14805" windowHeight="7770"/>
  </bookViews>
  <sheets>
    <sheet name="Прил 1 на 2023(март)" sheetId="3" r:id="rId1"/>
  </sheets>
  <definedNames>
    <definedName name="_xlnm._FilterDatabase" localSheetId="0" hidden="1">'Прил 1 на 2023(март)'!$A$8:$F$280</definedName>
    <definedName name="_xlnm.Print_Titles" localSheetId="0">'Прил 1 на 2023(март)'!$5:$7</definedName>
    <definedName name="_xlnm.Print_Area" localSheetId="0">'Прил 1 на 2023(март)'!$A$1:$BM$289</definedName>
  </definedNames>
  <calcPr calcId="145621" iterate="1"/>
</workbook>
</file>

<file path=xl/calcChain.xml><?xml version="1.0" encoding="utf-8"?>
<calcChain xmlns="http://schemas.openxmlformats.org/spreadsheetml/2006/main">
  <c r="E201" i="3" l="1"/>
  <c r="D228" i="3"/>
  <c r="F212" i="3"/>
  <c r="F211" i="3"/>
  <c r="E211" i="3"/>
  <c r="D211" i="3"/>
  <c r="F210" i="3"/>
  <c r="F209" i="3"/>
  <c r="E209" i="3"/>
  <c r="D209" i="3"/>
  <c r="E72" i="3"/>
  <c r="D72" i="3"/>
  <c r="F263" i="3"/>
  <c r="F262" i="3"/>
  <c r="F259" i="3"/>
  <c r="F255" i="3"/>
  <c r="F254" i="3"/>
  <c r="F252" i="3"/>
  <c r="F251" i="3"/>
  <c r="F248" i="3"/>
  <c r="F243" i="3"/>
  <c r="F242" i="3"/>
  <c r="F240" i="3"/>
  <c r="F239" i="3"/>
  <c r="F238" i="3"/>
  <c r="F237" i="3"/>
  <c r="F236" i="3"/>
  <c r="F235" i="3"/>
  <c r="F231" i="3"/>
  <c r="F230" i="3"/>
  <c r="F226" i="3"/>
  <c r="F224" i="3"/>
  <c r="F222" i="3"/>
  <c r="F218" i="3"/>
  <c r="F207" i="3"/>
  <c r="F205" i="3"/>
  <c r="F200" i="3"/>
  <c r="F199" i="3"/>
  <c r="F198" i="3"/>
  <c r="F197" i="3"/>
  <c r="F196" i="3"/>
  <c r="F195" i="3"/>
  <c r="F193" i="3"/>
  <c r="F192" i="3"/>
  <c r="F189" i="3"/>
  <c r="F179" i="3"/>
  <c r="F172" i="3"/>
  <c r="F163" i="3"/>
  <c r="F157" i="3"/>
  <c r="F156" i="3"/>
  <c r="F154" i="3"/>
  <c r="F153" i="3"/>
  <c r="F151" i="3"/>
  <c r="F149" i="3"/>
  <c r="F147" i="3"/>
  <c r="F141" i="3"/>
  <c r="F139" i="3"/>
  <c r="F138" i="3"/>
  <c r="F136" i="3"/>
  <c r="F135" i="3"/>
  <c r="F133" i="3"/>
  <c r="F132" i="3"/>
  <c r="F128" i="3"/>
  <c r="F123" i="3"/>
  <c r="F119" i="3"/>
  <c r="F117" i="3"/>
  <c r="F114" i="3"/>
  <c r="F113" i="3"/>
  <c r="F102" i="3"/>
  <c r="F99" i="3"/>
  <c r="F97" i="3"/>
  <c r="F96" i="3"/>
  <c r="F81" i="3"/>
  <c r="F76" i="3"/>
  <c r="F52" i="3"/>
  <c r="F49" i="3"/>
  <c r="F47" i="3"/>
  <c r="F44" i="3"/>
  <c r="F41" i="3"/>
  <c r="F39" i="3"/>
  <c r="F17" i="3"/>
  <c r="F16" i="3"/>
  <c r="F15" i="3"/>
  <c r="F14" i="3"/>
  <c r="F13" i="3"/>
  <c r="F12" i="3"/>
  <c r="F11" i="3"/>
  <c r="E182" i="3"/>
  <c r="D182" i="3"/>
  <c r="D181" i="3" s="1"/>
  <c r="D168" i="3"/>
  <c r="E168" i="3"/>
  <c r="D171" i="3"/>
  <c r="D170" i="3" s="1"/>
  <c r="E142" i="3"/>
  <c r="D142" i="3"/>
  <c r="E144" i="3"/>
  <c r="D144" i="3"/>
  <c r="E171" i="3"/>
  <c r="E170" i="3" s="1"/>
  <c r="E161" i="3"/>
  <c r="F161" i="3" s="1"/>
  <c r="D161" i="3"/>
  <c r="E110" i="3"/>
  <c r="E91" i="3"/>
  <c r="E88" i="3"/>
  <c r="E85" i="3"/>
  <c r="D86" i="3"/>
  <c r="E66" i="3"/>
  <c r="E63" i="3"/>
  <c r="D10" i="3"/>
  <c r="D9" i="3" s="1"/>
  <c r="D58" i="3"/>
  <c r="D57" i="3" s="1"/>
  <c r="D56" i="3" s="1"/>
  <c r="E58" i="3"/>
  <c r="E57" i="3" s="1"/>
  <c r="E30" i="3"/>
  <c r="D36" i="3"/>
  <c r="E36" i="3"/>
  <c r="F268" i="3"/>
  <c r="F266" i="3"/>
  <c r="D85" i="3" l="1"/>
  <c r="F85" i="3" s="1"/>
  <c r="F86" i="3"/>
  <c r="F171" i="3"/>
  <c r="F170" i="3"/>
  <c r="E181" i="3"/>
  <c r="D71" i="3"/>
  <c r="E167" i="3"/>
  <c r="E56" i="3"/>
  <c r="E71" i="3"/>
  <c r="E272" i="3"/>
  <c r="E277" i="3"/>
  <c r="D274" i="3"/>
  <c r="F274" i="3" s="1"/>
  <c r="D273" i="3"/>
  <c r="F273" i="3" s="1"/>
  <c r="D279" i="3"/>
  <c r="F279" i="3" s="1"/>
  <c r="D275" i="3"/>
  <c r="F275" i="3" s="1"/>
  <c r="D278" i="3"/>
  <c r="F278" i="3" s="1"/>
  <c r="D280" i="3"/>
  <c r="F280" i="3" s="1"/>
  <c r="D277" i="3" l="1"/>
  <c r="D276" i="3" s="1"/>
  <c r="E276" i="3"/>
  <c r="E271" i="3"/>
  <c r="D272" i="3"/>
  <c r="D271" i="3" s="1"/>
  <c r="D270" i="3" s="1"/>
  <c r="D269" i="3" s="1"/>
  <c r="E265" i="3"/>
  <c r="D265" i="3"/>
  <c r="D267" i="3"/>
  <c r="E267" i="3"/>
  <c r="F267" i="3" s="1"/>
  <c r="F276" i="3" l="1"/>
  <c r="F272" i="3"/>
  <c r="F265" i="3"/>
  <c r="F277" i="3"/>
  <c r="F271" i="3"/>
  <c r="E270" i="3"/>
  <c r="D264" i="3"/>
  <c r="E264" i="3"/>
  <c r="E217" i="3"/>
  <c r="F217" i="3" s="1"/>
  <c r="D217" i="3"/>
  <c r="E223" i="3"/>
  <c r="F223" i="3" s="1"/>
  <c r="D223" i="3"/>
  <c r="E221" i="3"/>
  <c r="F221" i="3" s="1"/>
  <c r="D221" i="3"/>
  <c r="D216" i="3"/>
  <c r="F216" i="3" s="1"/>
  <c r="D220" i="3"/>
  <c r="F220" i="3" l="1"/>
  <c r="F264" i="3"/>
  <c r="F270" i="3"/>
  <c r="E269" i="3"/>
  <c r="F269" i="3" s="1"/>
  <c r="E206" i="3"/>
  <c r="D206" i="3"/>
  <c r="F206" i="3" l="1"/>
  <c r="D111" i="3"/>
  <c r="F111" i="3" s="1"/>
  <c r="D118" i="3"/>
  <c r="F118" i="3" s="1"/>
  <c r="E10" i="3"/>
  <c r="F10" i="3" s="1"/>
  <c r="D110" i="3" l="1"/>
  <c r="F110" i="3" s="1"/>
  <c r="E191" i="3"/>
  <c r="D194" i="3"/>
  <c r="F194" i="3" s="1"/>
  <c r="F191" i="3" l="1"/>
  <c r="D191" i="3"/>
  <c r="D190" i="3" s="1"/>
  <c r="E190" i="3"/>
  <c r="F190" i="3" s="1"/>
  <c r="D126" i="3"/>
  <c r="F126" i="3" s="1"/>
  <c r="F257" i="3" l="1"/>
  <c r="D257" i="3"/>
  <c r="F247" i="3"/>
  <c r="D247" i="3"/>
  <c r="F249" i="3"/>
  <c r="D249" i="3"/>
  <c r="E225" i="3"/>
  <c r="F225" i="3" s="1"/>
  <c r="D225" i="3"/>
  <c r="D234" i="3" l="1"/>
  <c r="D233" i="3"/>
  <c r="D232" i="3"/>
  <c r="F232" i="3" s="1"/>
  <c r="F229" i="3"/>
  <c r="D229" i="3"/>
  <c r="F214" i="3"/>
  <c r="D214" i="3"/>
  <c r="F233" i="3" l="1"/>
  <c r="F234" i="3"/>
  <c r="E228" i="3"/>
  <c r="D159" i="3"/>
  <c r="F159" i="3" s="1"/>
  <c r="D178" i="3"/>
  <c r="F178" i="3" s="1"/>
  <c r="D82" i="3"/>
  <c r="F82" i="3" s="1"/>
  <c r="D166" i="3"/>
  <c r="F166" i="3" s="1"/>
  <c r="D165" i="3"/>
  <c r="F165" i="3" s="1"/>
  <c r="D107" i="3"/>
  <c r="F107" i="3" s="1"/>
  <c r="D92" i="3"/>
  <c r="F92" i="3" s="1"/>
  <c r="D89" i="3"/>
  <c r="F89" i="3" s="1"/>
  <c r="D70" i="3"/>
  <c r="F70" i="3" s="1"/>
  <c r="D67" i="3"/>
  <c r="F67" i="3" s="1"/>
  <c r="D64" i="3"/>
  <c r="F64" i="3" s="1"/>
  <c r="D55" i="3"/>
  <c r="F55" i="3" s="1"/>
  <c r="D88" i="3" l="1"/>
  <c r="F88" i="3" s="1"/>
  <c r="D91" i="3"/>
  <c r="F91" i="3" s="1"/>
  <c r="D34" i="3"/>
  <c r="F34" i="3" s="1"/>
  <c r="D31" i="3"/>
  <c r="F31" i="3" s="1"/>
  <c r="D30" i="3" l="1"/>
  <c r="F30" i="3" s="1"/>
  <c r="D27" i="3"/>
  <c r="F27" i="3" s="1"/>
  <c r="D25" i="3"/>
  <c r="F25" i="3" s="1"/>
  <c r="D23" i="3"/>
  <c r="F23" i="3" s="1"/>
  <c r="D21" i="3"/>
  <c r="F21" i="3" s="1"/>
  <c r="D164" i="3" l="1"/>
  <c r="D160" i="3" s="1"/>
  <c r="D109" i="3"/>
  <c r="D33" i="3"/>
  <c r="D29" i="3" s="1"/>
  <c r="E204" i="3" l="1"/>
  <c r="D204" i="3"/>
  <c r="D203" i="3" s="1"/>
  <c r="E164" i="3"/>
  <c r="F164" i="3" s="1"/>
  <c r="D148" i="3"/>
  <c r="E148" i="3"/>
  <c r="E98" i="3"/>
  <c r="F98" i="3" s="1"/>
  <c r="D98" i="3"/>
  <c r="D95" i="3" s="1"/>
  <c r="F148" i="3" l="1"/>
  <c r="F204" i="3"/>
  <c r="E160" i="3"/>
  <c r="F160" i="3" s="1"/>
  <c r="E203" i="3"/>
  <c r="F203" i="3" s="1"/>
  <c r="E38" i="3"/>
  <c r="F38" i="3" s="1"/>
  <c r="D38" i="3"/>
  <c r="D256" i="3" l="1"/>
  <c r="F256" i="3" s="1"/>
  <c r="D253" i="3"/>
  <c r="F253" i="3" s="1"/>
  <c r="D250" i="3"/>
  <c r="F250" i="3" s="1"/>
  <c r="D246" i="3" l="1"/>
  <c r="D245" i="3" s="1"/>
  <c r="D241" i="3"/>
  <c r="F241" i="3" s="1"/>
  <c r="F228" i="3" l="1"/>
  <c r="E137" i="3"/>
  <c r="F137" i="3" s="1"/>
  <c r="D137" i="3"/>
  <c r="E134" i="3"/>
  <c r="F134" i="3" s="1"/>
  <c r="D134" i="3"/>
  <c r="E131" i="3"/>
  <c r="D131" i="3"/>
  <c r="F131" i="3" l="1"/>
  <c r="D130" i="3"/>
  <c r="D167" i="3"/>
  <c r="F167" i="3" s="1"/>
  <c r="E261" i="3"/>
  <c r="F261" i="3" s="1"/>
  <c r="D261" i="3"/>
  <c r="D260" i="3" s="1"/>
  <c r="E260" i="3"/>
  <c r="F260" i="3" s="1"/>
  <c r="E258" i="3"/>
  <c r="D258" i="3"/>
  <c r="E246" i="3"/>
  <c r="F246" i="3" s="1"/>
  <c r="E227" i="3"/>
  <c r="D227" i="3"/>
  <c r="D208" i="3" s="1"/>
  <c r="E219" i="3"/>
  <c r="D219" i="3"/>
  <c r="D215" i="3"/>
  <c r="E215" i="3"/>
  <c r="E213" i="3"/>
  <c r="F213" i="3" s="1"/>
  <c r="D213" i="3"/>
  <c r="E188" i="3"/>
  <c r="D188" i="3"/>
  <c r="D187" i="3" s="1"/>
  <c r="D180" i="3" s="1"/>
  <c r="E177" i="3"/>
  <c r="D177" i="3"/>
  <c r="D176" i="3" s="1"/>
  <c r="E158" i="3"/>
  <c r="F158" i="3" s="1"/>
  <c r="D158" i="3"/>
  <c r="E155" i="3"/>
  <c r="F155" i="3" s="1"/>
  <c r="D155" i="3"/>
  <c r="E152" i="3"/>
  <c r="F152" i="3" s="1"/>
  <c r="D152" i="3"/>
  <c r="E150" i="3"/>
  <c r="F150" i="3" s="1"/>
  <c r="D150" i="3"/>
  <c r="E146" i="3"/>
  <c r="F146" i="3" s="1"/>
  <c r="D146" i="3"/>
  <c r="E140" i="3"/>
  <c r="F140" i="3" s="1"/>
  <c r="D140" i="3"/>
  <c r="E127" i="3"/>
  <c r="F127" i="3" s="1"/>
  <c r="D127" i="3"/>
  <c r="E125" i="3"/>
  <c r="F125" i="3" s="1"/>
  <c r="D125" i="3"/>
  <c r="E122" i="3"/>
  <c r="D122" i="3"/>
  <c r="D121" i="3" s="1"/>
  <c r="E109" i="3"/>
  <c r="F109" i="3" s="1"/>
  <c r="D108" i="3"/>
  <c r="E106" i="3"/>
  <c r="F106" i="3" s="1"/>
  <c r="D106" i="3"/>
  <c r="D105" i="3" s="1"/>
  <c r="D104" i="3" s="1"/>
  <c r="E101" i="3"/>
  <c r="D101" i="3"/>
  <c r="D100" i="3" s="1"/>
  <c r="D94" i="3" s="1"/>
  <c r="E100" i="3"/>
  <c r="E95" i="3"/>
  <c r="F95" i="3" s="1"/>
  <c r="E80" i="3"/>
  <c r="F80" i="3" s="1"/>
  <c r="D80" i="3"/>
  <c r="D79" i="3" s="1"/>
  <c r="D78" i="3" s="1"/>
  <c r="E75" i="3"/>
  <c r="D75" i="3"/>
  <c r="D74" i="3" s="1"/>
  <c r="E69" i="3"/>
  <c r="D69" i="3"/>
  <c r="D68" i="3" s="1"/>
  <c r="D66" i="3"/>
  <c r="D63" i="3"/>
  <c r="E54" i="3"/>
  <c r="F54" i="3" s="1"/>
  <c r="D54" i="3"/>
  <c r="D53" i="3" s="1"/>
  <c r="E51" i="3"/>
  <c r="F51" i="3" s="1"/>
  <c r="D51" i="3"/>
  <c r="E48" i="3"/>
  <c r="F48" i="3" s="1"/>
  <c r="D48" i="3"/>
  <c r="E46" i="3"/>
  <c r="F46" i="3" s="1"/>
  <c r="D46" i="3"/>
  <c r="E43" i="3"/>
  <c r="F43" i="3" s="1"/>
  <c r="D43" i="3"/>
  <c r="E40" i="3"/>
  <c r="F40" i="3" s="1"/>
  <c r="D40" i="3"/>
  <c r="D28" i="3" s="1"/>
  <c r="E33" i="3"/>
  <c r="F33" i="3" s="1"/>
  <c r="E26" i="3"/>
  <c r="D26" i="3"/>
  <c r="E24" i="3"/>
  <c r="D24" i="3"/>
  <c r="E22" i="3"/>
  <c r="D22" i="3"/>
  <c r="D20" i="3"/>
  <c r="E20" i="3"/>
  <c r="F20" i="3" s="1"/>
  <c r="E9" i="3"/>
  <c r="F9" i="3" s="1"/>
  <c r="F227" i="3" l="1"/>
  <c r="E208" i="3"/>
  <c r="F219" i="3"/>
  <c r="F69" i="3"/>
  <c r="F75" i="3"/>
  <c r="F100" i="3"/>
  <c r="F101" i="3"/>
  <c r="F122" i="3"/>
  <c r="F177" i="3"/>
  <c r="F188" i="3"/>
  <c r="E130" i="3"/>
  <c r="F130" i="3" s="1"/>
  <c r="F22" i="3"/>
  <c r="F24" i="3"/>
  <c r="F26" i="3"/>
  <c r="D129" i="3"/>
  <c r="F215" i="3"/>
  <c r="F258" i="3"/>
  <c r="D65" i="3"/>
  <c r="F66" i="3"/>
  <c r="D62" i="3"/>
  <c r="D61" i="3" s="1"/>
  <c r="F63" i="3"/>
  <c r="E245" i="3"/>
  <c r="F245" i="3" s="1"/>
  <c r="E29" i="3"/>
  <c r="F29" i="3" s="1"/>
  <c r="E28" i="3"/>
  <c r="F28" i="3" s="1"/>
  <c r="E105" i="3"/>
  <c r="E53" i="3"/>
  <c r="F53" i="3" s="1"/>
  <c r="E62" i="3"/>
  <c r="E65" i="3"/>
  <c r="F65" i="3" s="1"/>
  <c r="E68" i="3"/>
  <c r="F68" i="3" s="1"/>
  <c r="E74" i="3"/>
  <c r="F74" i="3" s="1"/>
  <c r="E79" i="3"/>
  <c r="F79" i="3" s="1"/>
  <c r="E108" i="3"/>
  <c r="F108" i="3" s="1"/>
  <c r="E121" i="3"/>
  <c r="F121" i="3" s="1"/>
  <c r="E94" i="3"/>
  <c r="F94" i="3" s="1"/>
  <c r="E176" i="3"/>
  <c r="F176" i="3" s="1"/>
  <c r="E187" i="3"/>
  <c r="D103" i="3"/>
  <c r="F208" i="3"/>
  <c r="D45" i="3"/>
  <c r="D84" i="3"/>
  <c r="D83" i="3" s="1"/>
  <c r="D77" i="3" s="1"/>
  <c r="D124" i="3"/>
  <c r="D120" i="3" s="1"/>
  <c r="D244" i="3"/>
  <c r="D42" i="3"/>
  <c r="D19" i="3"/>
  <c r="D18" i="3" s="1"/>
  <c r="E19" i="3"/>
  <c r="F19" i="3" s="1"/>
  <c r="E124" i="3"/>
  <c r="E45" i="3"/>
  <c r="F45" i="3" s="1"/>
  <c r="E84" i="3"/>
  <c r="F84" i="3" s="1"/>
  <c r="D50" i="3"/>
  <c r="F187" i="3" l="1"/>
  <c r="E180" i="3"/>
  <c r="F180" i="3" s="1"/>
  <c r="F124" i="3"/>
  <c r="E244" i="3"/>
  <c r="F244" i="3" s="1"/>
  <c r="E104" i="3"/>
  <c r="F104" i="3" s="1"/>
  <c r="F105" i="3"/>
  <c r="F62" i="3"/>
  <c r="E129" i="3"/>
  <c r="F129" i="3" s="1"/>
  <c r="E103" i="3"/>
  <c r="F103" i="3" s="1"/>
  <c r="E120" i="3"/>
  <c r="F120" i="3" s="1"/>
  <c r="D60" i="3"/>
  <c r="E42" i="3"/>
  <c r="F42" i="3" s="1"/>
  <c r="E50" i="3"/>
  <c r="F50" i="3" s="1"/>
  <c r="E61" i="3"/>
  <c r="F61" i="3" s="1"/>
  <c r="E83" i="3"/>
  <c r="F83" i="3" s="1"/>
  <c r="E78" i="3"/>
  <c r="F78" i="3" s="1"/>
  <c r="E18" i="3"/>
  <c r="F18" i="3" s="1"/>
  <c r="D202" i="3"/>
  <c r="D201" i="3" s="1"/>
  <c r="E202" i="3" l="1"/>
  <c r="D8" i="3"/>
  <c r="D281" i="3" s="1"/>
  <c r="E77" i="3"/>
  <c r="E60" i="3" l="1"/>
  <c r="F60" i="3" s="1"/>
  <c r="F77" i="3"/>
  <c r="F201" i="3"/>
  <c r="F202" i="3"/>
  <c r="E8" i="3"/>
  <c r="E281" i="3" l="1"/>
  <c r="F281" i="3" s="1"/>
  <c r="F8" i="3"/>
</calcChain>
</file>

<file path=xl/sharedStrings.xml><?xml version="1.0" encoding="utf-8"?>
<sst xmlns="http://schemas.openxmlformats.org/spreadsheetml/2006/main" count="831" uniqueCount="498">
  <si>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</si>
  <si>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</si>
  <si>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</si>
  <si>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</si>
  <si>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</si>
  <si>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</si>
  <si>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</si>
  <si>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</si>
  <si>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</si>
  <si>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</si>
  <si>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</si>
  <si>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</si>
  <si>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</si>
  <si>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</si>
  <si>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</si>
  <si>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</si>
  <si>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</si>
  <si>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</si>
  <si>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</si>
  <si>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</si>
  <si>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</si>
  <si>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</si>
  <si>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</si>
  <si>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</si>
  <si>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</si>
  <si>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</si>
  <si>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</si>
  <si>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</si>
  <si>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</si>
  <si>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</si>
  <si>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</si>
  <si>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</si>
  <si>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</si>
  <si>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</si>
  <si>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</si>
  <si>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</si>
  <si>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</si>
  <si>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</si>
  <si>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</si>
  <si>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</si>
  <si>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</si>
  <si>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</si>
  <si>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</si>
  <si>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</si>
  <si>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</si>
  <si>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</si>
  <si>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</si>
  <si>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</si>
  <si>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</si>
  <si>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</si>
  <si>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</si>
  <si>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</si>
  <si>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</si>
  <si>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</si>
  <si>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</si>
  <si>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</si>
  <si>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</si>
  <si>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</si>
  <si>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</si>
  <si>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</si>
  <si>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</si>
  <si>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</si>
  <si>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</si>
  <si>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</si>
  <si>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</si>
  <si>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</si>
  <si>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</si>
  <si>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</si>
  <si>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</si>
  <si>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</si>
  <si>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</si>
  <si>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</si>
  <si>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</si>
  <si>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</si>
  <si>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</si>
  <si>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</si>
  <si>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</si>
  <si>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</si>
  <si>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</si>
  <si>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</si>
  <si>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</si>
  <si>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</si>
  <si>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</si>
  <si>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</si>
  <si>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</si>
  <si>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</si>
  <si>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</si>
  <si>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</si>
  <si>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</si>
  <si>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</si>
  <si>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</si>
  <si>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</si>
  <si>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</si>
  <si>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</si>
  <si>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</si>
  <si>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</si>
  <si>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</si>
  <si>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</si>
  <si>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</si>
  <si>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</si>
  <si>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</si>
  <si>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</si>
  <si>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</si>
  <si>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</si>
  <si>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</si>
  <si>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</si>
  <si>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</si>
  <si>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</si>
  <si>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</si>
  <si>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</si>
  <si>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</si>
  <si>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</si>
  <si>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</si>
  <si>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</si>
  <si>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</si>
  <si>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</si>
  <si>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</si>
  <si>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</si>
  <si>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</si>
  <si>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</si>
  <si>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</si>
  <si>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</si>
  <si>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</si>
  <si>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</si>
  <si>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</si>
  <si>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</si>
  <si>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</si>
  <si>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</si>
  <si>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</si>
  <si>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</si>
  <si>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</si>
  <si>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</si>
  <si>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</si>
  <si>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</si>
  <si>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</si>
  <si>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</si>
  <si>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</si>
  <si>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</si>
  <si>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</si>
  <si>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</si>
  <si>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</si>
  <si>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</si>
  <si>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</si>
  <si>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</si>
  <si>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</si>
  <si>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</si>
  <si>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</si>
  <si>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</si>
  <si>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</si>
  <si>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</si>
  <si>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</si>
  <si>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</si>
  <si>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</si>
  <si>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</si>
  <si>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</si>
  <si>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</si>
  <si>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</si>
  <si>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</si>
  <si>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</si>
  <si>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</si>
  <si>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</si>
  <si>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</si>
  <si>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</si>
  <si>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</si>
  <si>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</si>
  <si>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</si>
  <si>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</si>
  <si>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</si>
  <si>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</si>
  <si>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</si>
  <si>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</si>
  <si>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</si>
  <si>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</si>
  <si>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</si>
  <si>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</si>
  <si>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</si>
  <si>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</si>
  <si>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</si>
  <si>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</si>
  <si>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</si>
  <si>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</si>
  <si>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</si>
  <si>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</si>
  <si>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</si>
  <si>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</si>
  <si>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</si>
  <si>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</si>
  <si>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</si>
  <si>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</si>
  <si>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</si>
  <si>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</si>
  <si>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</si>
  <si>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</si>
  <si>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</si>
  <si>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</si>
  <si>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</si>
  <si>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</si>
  <si>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</si>
  <si>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</si>
  <si>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</si>
  <si>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</si>
  <si>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</si>
  <si>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</si>
  <si>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</si>
  <si>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</si>
  <si>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</si>
  <si>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</si>
  <si>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</si>
  <si>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</si>
  <si>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</si>
  <si>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</si>
  <si>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</si>
  <si>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</si>
  <si>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</si>
  <si>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</si>
  <si>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</si>
  <si>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</si>
  <si>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</si>
  <si>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</si>
  <si>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</si>
  <si>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</si>
  <si>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</si>
  <si>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</si>
  <si>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</si>
  <si>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</si>
  <si>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</si>
  <si>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</si>
  <si>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</si>
  <si>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</si>
  <si>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</si>
  <si>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</si>
  <si>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</si>
  <si>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</si>
  <si>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</si>
  <si>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</si>
  <si>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</si>
  <si>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</si>
  <si>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</si>
  <si>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</si>
  <si>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</si>
  <si>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</si>
  <si>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</si>
  <si>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</si>
  <si>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</si>
  <si>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</si>
  <si>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</si>
  <si>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</si>
  <si>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</si>
  <si>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</si>
  <si>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</si>
  <si>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</si>
  <si>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</si>
  <si>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</si>
  <si>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</si>
  <si>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</si>
  <si>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</si>
  <si>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</si>
  <si>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</si>
  <si>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</si>
  <si>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</si>
  <si>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</si>
  <si>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</si>
  <si>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</si>
  <si>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</si>
  <si>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</si>
  <si>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</si>
  <si>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</si>
  <si>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</si>
  <si>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</si>
  <si>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</si>
  <si>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</si>
  <si>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</si>
  <si>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</si>
  <si>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</si>
  <si>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</si>
  <si>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</si>
  <si>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</si>
  <si>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</si>
  <si>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</si>
  <si>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</si>
  <si>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</si>
  <si>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</si>
  <si>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</si>
  <si>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</si>
  <si>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</si>
  <si>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</si>
  <si>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</si>
  <si>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</si>
  <si>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</si>
  <si>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</si>
  <si>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</si>
  <si>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</si>
  <si>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</si>
  <si>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</si>
  <si>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</si>
  <si>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</si>
  <si>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</si>
  <si>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</si>
  <si>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</si>
  <si>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</si>
  <si>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</si>
  <si>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</si>
  <si>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</si>
  <si>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</si>
  <si>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</si>
  <si>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</si>
  <si>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</si>
  <si>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</si>
  <si>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</si>
  <si>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</si>
  <si>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</si>
  <si>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</si>
  <si>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</si>
  <si>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</si>
  <si>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</si>
  <si>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</si>
  <si>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</si>
  <si>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</si>
  <si>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</si>
  <si>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</si>
  <si>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</si>
  <si>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</si>
  <si>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</si>
  <si>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</si>
  <si>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</si>
  <si>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</si>
  <si>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</si>
  <si>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</si>
  <si>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</si>
  <si>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</si>
  <si>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</si>
  <si>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</si>
  <si>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</si>
  <si>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</si>
  <si>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</si>
  <si>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</si>
  <si>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</si>
  <si>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</si>
  <si>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</si>
  <si>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</si>
  <si>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</si>
  <si>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</si>
  <si>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</si>
  <si>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</si>
  <si>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</si>
  <si>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</si>
  <si>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</si>
  <si>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</si>
  <si>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</si>
  <si>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</si>
  <si>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</si>
  <si>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</si>
  <si>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</si>
  <si>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</si>
  <si>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</si>
  <si>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</si>
  <si>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</si>
  <si>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</si>
  <si>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</si>
  <si>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</si>
  <si>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</si>
  <si>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</si>
  <si>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</si>
  <si>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</si>
  <si>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</si>
  <si>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</si>
  <si>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</si>
  <si>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</si>
  <si>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</si>
  <si>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</si>
  <si>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</si>
  <si>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Прочие доходы от  компенсации затрат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</si>
  <si>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</si>
  <si>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</si>
  <si>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</si>
  <si>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</si>
  <si>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</si>
  <si>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</si>
  <si>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</si>
  <si>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</si>
  <si>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</si>
  <si>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</si>
  <si>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</si>
  <si>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</si>
  <si>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</si>
  <si>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</si>
  <si>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</si>
  <si>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</si>
  <si>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1 01 02130 01 0000 110</t>
  </si>
  <si>
    <t xml:space="preserve">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</si>
  <si>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</si>
  <si>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</si>
  <si>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Дотации бюджетам на поддержку мер по обеспечению сбалансированности бюджетов</t>
  </si>
  <si>
    <t>2 02 15002 04 0000 150</t>
  </si>
  <si>
    <t>2 02 15002 00 0000 150</t>
  </si>
  <si>
    <t>Прочая субсидия бюджетам городских округов (субсидии местным бюджетам на финансовую поддержку реализации инициативных проектов)</t>
  </si>
  <si>
    <t>Прочие субсидии бюджетам городских округов (субсидий местным бюджетам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</si>
  <si>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</si>
  <si>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</si>
  <si>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программ формирования современной городской среды</t>
  </si>
  <si>
    <t>2 02 25555 00 0000 150</t>
  </si>
  <si>
    <t>Прочие субсидии бюджетам городских округов (субсидии местным бюджетам на развитие деятельности модельных муниципальных библиотек)</t>
  </si>
  <si>
    <t>Субсидии бюджетам городских округов на техническое оснащение региональных и муниципальных музеев</t>
  </si>
  <si>
    <t>2 02 25590 04 0000 150</t>
  </si>
  <si>
    <t>Субсидии бюджетам на техническое оснащение региональных и муниципальных музеев</t>
  </si>
  <si>
    <t>2 02 25590 00 0000 150</t>
  </si>
  <si>
    <t>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</si>
  <si>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</si>
  <si>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</si>
  <si>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</si>
  <si>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</si>
  <si>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</si>
  <si>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</si>
  <si>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</si>
  <si>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</si>
  <si>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</si>
  <si>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</si>
  <si>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2 02 45303 00 0000 150</t>
  </si>
  <si>
    <t>2 02 45303 04 0000 150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</si>
  <si>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</si>
  <si>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</si>
  <si>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</si>
  <si>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</si>
  <si>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</si>
  <si>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Доходы бюджетов городских округов от возврата бюджетными учреждениями остатков субсидий прошлых лет</t>
  </si>
  <si>
    <t xml:space="preserve"> 2 18 04010 04 0000 150</t>
  </si>
  <si>
    <t xml:space="preserve"> 1 17 15020 04 0020 150</t>
  </si>
  <si>
    <t>1 17 15020 04 0030 150</t>
  </si>
  <si>
    <t xml:space="preserve"> 1 17 15020 04 0090 150</t>
  </si>
  <si>
    <t>1 17 15020 04 0100 150</t>
  </si>
  <si>
    <t xml:space="preserve"> 1 17 15020 04 0110 150</t>
  </si>
  <si>
    <t>1 17 15020 04 0120 150</t>
  </si>
  <si>
    <t>1 17 15020 04 0130 150</t>
  </si>
  <si>
    <t>1 17 15020 04 0140 150</t>
  </si>
  <si>
    <t>1 17 15020 04 0150 150</t>
  </si>
  <si>
    <t xml:space="preserve">Отчет об исполнении бюджета города за 1 квартал 2023 года </t>
  </si>
  <si>
    <t>Управляющий делами</t>
  </si>
  <si>
    <t>Е.Ф.Супрунова</t>
  </si>
  <si>
    <t>План</t>
  </si>
  <si>
    <t>Исполнение</t>
  </si>
  <si>
    <t>% исполнения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</si>
  <si>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</si>
  <si>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</si>
  <si>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Единый налог на вмененный доход для отдельных видов деятельности</t>
  </si>
  <si>
    <t>1 05 02000 02 0000 110</t>
  </si>
  <si>
    <t xml:space="preserve"> 1 05 02010 02 0000 110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</si>
  <si>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</si>
  <si>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</si>
  <si>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</si>
  <si>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</si>
  <si>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</si>
  <si>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</si>
  <si>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1 09 0000 00 0000 000</t>
  </si>
  <si>
    <t>1 09 07000 00 0000 110</t>
  </si>
  <si>
    <t>1 09 07030 ,00 0000 110</t>
  </si>
  <si>
    <t>1 09 07032 04 0000 110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</si>
  <si>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</si>
  <si>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</si>
  <si>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</si>
  <si>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</si>
  <si>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1 11 05410 00 0000 120</t>
  </si>
  <si>
    <t>1 11 05410 04 0000 120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</si>
  <si>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</si>
  <si>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</si>
  <si>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 xml:space="preserve"> 1 11 09 080 04 2130 120</t>
  </si>
  <si>
    <t>1 11 09 080 04 2131 120</t>
  </si>
  <si>
    <t>1 11 09 080 04 2132 120</t>
  </si>
  <si>
    <t>908</t>
  </si>
  <si>
    <t>809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</si>
  <si>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</si>
  <si>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</si>
  <si>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</si>
  <si>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</si>
  <si>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1 16 01 133 01 0000 140</t>
  </si>
  <si>
    <t>1 16 01130 01 0000 140</t>
  </si>
  <si>
    <t>00</t>
  </si>
  <si>
    <t>1 16 01100 01 0000 140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</si>
  <si>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</si>
  <si>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</si>
  <si>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</si>
  <si>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1 16 10030 04 0000 140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</si>
  <si>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</si>
  <si>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Невыясненные поступления</t>
  </si>
  <si>
    <t>Невыясненные поступления, зачисляемые в бюджеты городских округов</t>
  </si>
  <si>
    <t>1 17 01040 04 0000 180</t>
  </si>
  <si>
    <t>1 17 01000 00 0000 180</t>
  </si>
  <si>
    <t>1 16 10129 01 0000 140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</si>
  <si>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</si>
  <si>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</si>
  <si>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</si>
  <si>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>2 02 20299 00 0000 150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</si>
  <si>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</si>
  <si>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</si>
  <si>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 xml:space="preserve"> 2 02 25116 00 0000 150</t>
  </si>
  <si>
    <t>2 02 25116 04 0000 150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</si>
  <si>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области, расселяемых с финансовой поддержкой государственной корпорации - Фонда содействия реформированию жилищно-коммунального хозяйства, за счет средств областного бюджета</t>
  </si>
  <si>
    <t>1 16 01 103 01 0000 140</t>
  </si>
  <si>
    <t xml:space="preserve">Приложение № 1
УТВЕРЖДЕН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города Усть-Илимска от 21.04.2023 г. № 203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</si>
</sst>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0.0%"/>
    <numFmt numFmtId="169" formatCode="#,##0.00;[Red]\-#,##0.00;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name val="Arial Cyr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8" fillId="0" borderId="0"/>
    <xf numFmtId="0" fontId="13" fillId="0" borderId="6">
      <alignment horizontal="left" wrapText="1" indent="2"/>
    </xf>
  </cellStyleXfs>
  <cellXfs count="140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19" fillId="2" borderId="1" xfId="6" applyNumberFormat="1" applyFont="1" applyFill="1" applyBorder="1" applyAlignment="1" applyProtection="1">
      <alignment horizontal="left" vertical="center" wrapText="1"/>
    </xf>
    <xf numFmtId="49" fontId="19" fillId="2" borderId="1" xfId="7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168" fontId="3" fillId="2" borderId="1" xfId="1" applyNumberFormat="1" applyFont="1" applyFill="1" applyBorder="1" applyAlignment="1">
      <alignment horizontal="center" vertical="center" wrapText="1"/>
    </xf>
    <xf numFmtId="4" fontId="19" fillId="2" borderId="1" xfId="1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/>
    <xf numFmtId="4" fontId="3" fillId="2" borderId="0" xfId="0" applyNumberFormat="1" applyFont="1" applyFill="1" applyBorder="1" applyAlignment="1"/>
    <xf numFmtId="0" fontId="3" fillId="2" borderId="0" xfId="0" applyFont="1" applyFill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0" fontId="19" fillId="2" borderId="1" xfId="19" applyNumberFormat="1" applyFont="1" applyFill="1" applyBorder="1" applyAlignment="1" applyProtection="1">
      <alignment horizontal="left" vertical="center" wrapText="1"/>
    </xf>
    <xf numFmtId="169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>
      <alignment wrapText="1"/>
    </xf>
    <xf numFmtId="169" fontId="3" fillId="2" borderId="1" xfId="18" applyNumberFormat="1" applyFont="1" applyFill="1" applyBorder="1" applyAlignment="1" applyProtection="1">
      <alignment horizontal="right" vertical="center"/>
      <protection hidden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righ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xl75" xfId="19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88"/>
  <sheetViews>
    <sheetView tabSelected="1" view="pageBreakPreview" zoomScaleNormal="100" zoomScaleSheetLayoutView="100" workbookViewId="0">
      <selection activeCell="E6" sqref="E6:E7"/>
    </sheetView>
  </sheetViews>
  <sheetFormatPr defaultColWidth="8.85546875" defaultRowHeight="15" x14ac:dyDescent="0.25"/>
  <cols>
    <col min="1" max="1" width="53.85546875" style="105" customWidth="1"/>
    <col min="2" max="2" width="8" style="52" customWidth="1"/>
    <col min="3" max="3" width="20.85546875" style="51" customWidth="1"/>
    <col min="4" max="4" width="15.28515625" style="52" customWidth="1"/>
    <col min="5" max="5" width="15.5703125" style="52" customWidth="1"/>
    <col min="6" max="6" width="15.710937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52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52" hidden="1" customWidth="1"/>
    <col min="58" max="58" width="19.28515625" style="52" hidden="1" customWidth="1"/>
    <col min="59" max="59" width="10" style="52" hidden="1" customWidth="1"/>
    <col min="60" max="64" width="8.85546875" style="52" hidden="1" customWidth="1"/>
    <col min="65" max="65" width="0.140625" style="6" customWidth="1"/>
    <col min="66" max="66" width="8.85546875" style="6" hidden="1" customWidth="1"/>
    <col min="67" max="67" width="35.7109375" style="52" customWidth="1"/>
    <col min="68" max="16384" width="8.85546875" style="52"/>
  </cols>
  <sheetData>
    <row r="1" spans="1:66" s="4" customFormat="1" ht="25.9" customHeight="1" x14ac:dyDescent="0.25">
      <c r="A1" s="103"/>
      <c r="B1" s="1"/>
      <c r="C1" s="2"/>
      <c r="D1" s="122" t="s">
        <v>497</v>
      </c>
      <c r="E1" s="122"/>
      <c r="F1" s="12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1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21"/>
      <c r="BL1" s="121"/>
      <c r="BM1" s="3"/>
      <c r="BN1" s="3"/>
    </row>
    <row r="2" spans="1:66" s="4" customFormat="1" ht="31.15" customHeight="1" x14ac:dyDescent="0.25">
      <c r="A2" s="103"/>
      <c r="B2" s="7"/>
      <c r="C2" s="2"/>
      <c r="D2" s="122"/>
      <c r="E2" s="122"/>
      <c r="F2" s="12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91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21"/>
      <c r="BL2" s="121"/>
      <c r="BM2" s="3"/>
      <c r="BN2" s="3"/>
    </row>
    <row r="3" spans="1:66" s="4" customFormat="1" ht="12.6" customHeight="1" x14ac:dyDescent="0.25">
      <c r="A3" s="103"/>
      <c r="B3" s="7"/>
      <c r="C3" s="2"/>
      <c r="D3" s="122"/>
      <c r="E3" s="122"/>
      <c r="F3" s="12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91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21"/>
      <c r="BL3" s="121"/>
      <c r="BM3" s="3"/>
      <c r="BN3" s="3"/>
    </row>
    <row r="4" spans="1:66" s="10" customFormat="1" ht="19.149999999999999" customHeight="1" x14ac:dyDescent="0.25">
      <c r="A4" s="139" t="s">
        <v>435</v>
      </c>
      <c r="B4" s="139"/>
      <c r="C4" s="139"/>
      <c r="D4" s="139"/>
      <c r="E4" s="139"/>
      <c r="F4" s="13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ht="19.149999999999999" customHeight="1" x14ac:dyDescent="0.25">
      <c r="A5" s="103"/>
      <c r="B5" s="11"/>
      <c r="C5" s="11"/>
      <c r="D5" s="12"/>
      <c r="F5" s="13" t="s">
        <v>309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91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28.9" customHeight="1" x14ac:dyDescent="0.25">
      <c r="A6" s="136" t="s">
        <v>0</v>
      </c>
      <c r="B6" s="137" t="s">
        <v>1</v>
      </c>
      <c r="C6" s="137"/>
      <c r="D6" s="138" t="s">
        <v>438</v>
      </c>
      <c r="E6" s="138" t="s">
        <v>439</v>
      </c>
      <c r="F6" s="138" t="s">
        <v>440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91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57" customHeight="1" x14ac:dyDescent="0.25">
      <c r="A7" s="136"/>
      <c r="B7" s="14" t="s">
        <v>2</v>
      </c>
      <c r="C7" s="14" t="s">
        <v>3</v>
      </c>
      <c r="D7" s="138"/>
      <c r="E7" s="138"/>
      <c r="F7" s="138"/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91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6.899999999999999" customHeight="1" x14ac:dyDescent="0.25">
      <c r="A8" s="57" t="s">
        <v>4</v>
      </c>
      <c r="B8" s="16" t="s">
        <v>5</v>
      </c>
      <c r="C8" s="66" t="s">
        <v>6</v>
      </c>
      <c r="D8" s="58">
        <f>+D9+D18+D28+D42+D50+D60+D94+D103+D120+D129+D180+D56</f>
        <v>1311986521.1600001</v>
      </c>
      <c r="E8" s="58">
        <f>+E9+E18+E28+E42+E50+E60+E94+E103+E120+E129+E180+E56</f>
        <v>276621488.25999999</v>
      </c>
      <c r="F8" s="110">
        <f>+E8/D8</f>
        <v>0.21084171506230384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33"/>
      <c r="U8" s="133"/>
      <c r="V8" s="133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20" customFormat="1" ht="15" customHeight="1" x14ac:dyDescent="0.25">
      <c r="A9" s="57" t="s">
        <v>7</v>
      </c>
      <c r="B9" s="16" t="s">
        <v>5</v>
      </c>
      <c r="C9" s="17" t="s">
        <v>8</v>
      </c>
      <c r="D9" s="58">
        <f>+D10</f>
        <v>685362903.14999998</v>
      </c>
      <c r="E9" s="58">
        <f>+E10</f>
        <v>107230440.47</v>
      </c>
      <c r="F9" s="110">
        <f t="shared" ref="F9:F70" si="0">+E9/D9</f>
        <v>0.1564578998617486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9"/>
      <c r="V9" s="19"/>
      <c r="W9" s="6"/>
      <c r="X9" s="6"/>
      <c r="Y9" s="18"/>
      <c r="Z9" s="18"/>
      <c r="AC9" s="21"/>
      <c r="AD9" s="21"/>
      <c r="AE9" s="21"/>
      <c r="AF9" s="21"/>
      <c r="AG9" s="21"/>
      <c r="AH9" s="21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BM9" s="18"/>
      <c r="BN9" s="18"/>
    </row>
    <row r="10" spans="1:66" s="23" customFormat="1" ht="16.149999999999999" customHeight="1" x14ac:dyDescent="0.2">
      <c r="A10" s="57" t="s">
        <v>9</v>
      </c>
      <c r="B10" s="16" t="s">
        <v>5</v>
      </c>
      <c r="C10" s="17" t="s">
        <v>10</v>
      </c>
      <c r="D10" s="58">
        <f>+D11+D12+D14+D13+D15+D16+D17</f>
        <v>685362903.14999998</v>
      </c>
      <c r="E10" s="58">
        <f t="shared" ref="E10" si="1">+E11+E12+E14+E13+E15+E16+E17</f>
        <v>107230440.47</v>
      </c>
      <c r="F10" s="110">
        <f t="shared" si="0"/>
        <v>0.1564578998617486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33"/>
      <c r="U10" s="133"/>
      <c r="V10" s="133"/>
      <c r="W10" s="3"/>
      <c r="X10" s="3"/>
      <c r="Y10" s="22"/>
      <c r="Z10" s="22"/>
      <c r="AC10" s="21"/>
      <c r="AD10" s="21"/>
      <c r="AE10" s="21"/>
      <c r="AF10" s="21"/>
      <c r="AG10" s="21"/>
      <c r="AH10" s="21"/>
      <c r="AI10" s="22"/>
      <c r="AJ10" s="22"/>
      <c r="AK10" s="22"/>
      <c r="AL10" s="22"/>
      <c r="AM10" s="24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BM10" s="22"/>
      <c r="BN10" s="22"/>
    </row>
    <row r="11" spans="1:66" s="4" customFormat="1" ht="70.900000000000006" customHeight="1" x14ac:dyDescent="0.25">
      <c r="A11" s="76" t="s">
        <v>11</v>
      </c>
      <c r="B11" s="67" t="s">
        <v>12</v>
      </c>
      <c r="C11" s="67" t="s">
        <v>13</v>
      </c>
      <c r="D11" s="58">
        <v>610349951</v>
      </c>
      <c r="E11" s="111">
        <v>100697238.81</v>
      </c>
      <c r="F11" s="110">
        <f t="shared" si="0"/>
        <v>0.16498279166733315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5"/>
      <c r="U11" s="25"/>
      <c r="V11" s="26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5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97.15" customHeight="1" x14ac:dyDescent="0.25">
      <c r="A12" s="76" t="s">
        <v>14</v>
      </c>
      <c r="B12" s="67" t="s">
        <v>12</v>
      </c>
      <c r="C12" s="67" t="s">
        <v>15</v>
      </c>
      <c r="D12" s="58">
        <v>687790</v>
      </c>
      <c r="E12" s="111">
        <v>209026.33</v>
      </c>
      <c r="F12" s="110">
        <f t="shared" si="0"/>
        <v>0.30391010337457652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91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5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44.45" customHeight="1" x14ac:dyDescent="0.25">
      <c r="A13" s="76" t="s">
        <v>16</v>
      </c>
      <c r="B13" s="67" t="s">
        <v>12</v>
      </c>
      <c r="C13" s="67" t="s">
        <v>17</v>
      </c>
      <c r="D13" s="58">
        <v>6500760</v>
      </c>
      <c r="E13" s="111">
        <v>158633.25</v>
      </c>
      <c r="F13" s="110">
        <f t="shared" si="0"/>
        <v>2.4402262197035424E-2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91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5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9.900000000000006" customHeight="1" x14ac:dyDescent="0.25">
      <c r="A14" s="76" t="s">
        <v>18</v>
      </c>
      <c r="B14" s="67" t="s">
        <v>12</v>
      </c>
      <c r="C14" s="67" t="s">
        <v>19</v>
      </c>
      <c r="D14" s="58">
        <v>17744430</v>
      </c>
      <c r="E14" s="111">
        <v>2024976.29</v>
      </c>
      <c r="F14" s="110">
        <f t="shared" si="0"/>
        <v>0.11411898212565859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91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5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81.599999999999994" customHeight="1" x14ac:dyDescent="0.25">
      <c r="A15" s="76" t="s">
        <v>312</v>
      </c>
      <c r="B15" s="67" t="s">
        <v>12</v>
      </c>
      <c r="C15" s="67" t="s">
        <v>311</v>
      </c>
      <c r="D15" s="58">
        <v>49021660</v>
      </c>
      <c r="E15" s="111">
        <v>2132992.08</v>
      </c>
      <c r="F15" s="110">
        <f t="shared" si="0"/>
        <v>4.3511216878416602E-2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91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5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44.45" customHeight="1" x14ac:dyDescent="0.25">
      <c r="A16" s="94" t="s">
        <v>390</v>
      </c>
      <c r="B16" s="67" t="s">
        <v>12</v>
      </c>
      <c r="C16" s="102" t="s">
        <v>388</v>
      </c>
      <c r="D16" s="58">
        <v>1000000</v>
      </c>
      <c r="E16" s="111">
        <v>1498556.8</v>
      </c>
      <c r="F16" s="110">
        <f t="shared" si="0"/>
        <v>1.4985568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91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5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42" customHeight="1" x14ac:dyDescent="0.25">
      <c r="A17" s="94" t="s">
        <v>391</v>
      </c>
      <c r="B17" s="67" t="s">
        <v>12</v>
      </c>
      <c r="C17" s="102" t="s">
        <v>389</v>
      </c>
      <c r="D17" s="58">
        <v>58312.15</v>
      </c>
      <c r="E17" s="111">
        <v>509016.91</v>
      </c>
      <c r="F17" s="110">
        <f t="shared" si="0"/>
        <v>8.7291741086548846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91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5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27.6" customHeight="1" x14ac:dyDescent="0.25">
      <c r="A18" s="76" t="s">
        <v>20</v>
      </c>
      <c r="B18" s="67" t="s">
        <v>5</v>
      </c>
      <c r="C18" s="67" t="s">
        <v>21</v>
      </c>
      <c r="D18" s="58">
        <f>+D19</f>
        <v>15818490</v>
      </c>
      <c r="E18" s="58">
        <f>+E19</f>
        <v>4252918.72</v>
      </c>
      <c r="F18" s="110">
        <f t="shared" si="0"/>
        <v>0.26885743961655001</v>
      </c>
      <c r="G18" s="27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91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4" customFormat="1" ht="31.15" customHeight="1" x14ac:dyDescent="0.25">
      <c r="A19" s="28" t="s">
        <v>22</v>
      </c>
      <c r="B19" s="67" t="s">
        <v>5</v>
      </c>
      <c r="C19" s="67" t="s">
        <v>23</v>
      </c>
      <c r="D19" s="58">
        <f>+D20+D22+D24+D26</f>
        <v>15818490</v>
      </c>
      <c r="E19" s="58">
        <f t="shared" ref="E19" si="2">+E20+E22+E24+E26</f>
        <v>4252918.72</v>
      </c>
      <c r="F19" s="110">
        <f t="shared" si="0"/>
        <v>0.26885743961655001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91"/>
      <c r="W19" s="3"/>
      <c r="X19" s="3"/>
      <c r="Y19" s="3"/>
      <c r="Z19" s="3"/>
      <c r="AC19" s="5"/>
      <c r="AD19" s="5"/>
      <c r="AE19" s="5"/>
      <c r="AF19" s="5"/>
      <c r="AG19" s="5"/>
      <c r="AH19" s="5"/>
      <c r="AI19" s="3"/>
      <c r="AJ19" s="3"/>
      <c r="AK19" s="3"/>
      <c r="AL19" s="3"/>
      <c r="AM19" s="134"/>
      <c r="AN19" s="3"/>
      <c r="AO19" s="3"/>
      <c r="AP19" s="3"/>
      <c r="AQ19" s="3"/>
      <c r="AR19" s="6"/>
      <c r="AS19" s="6"/>
      <c r="AT19" s="3"/>
      <c r="AU19" s="3"/>
      <c r="AV19" s="3"/>
      <c r="AW19" s="3"/>
      <c r="AX19" s="23"/>
      <c r="BM19" s="3"/>
      <c r="BN19" s="3"/>
    </row>
    <row r="20" spans="1:66" s="4" customFormat="1" ht="58.15" customHeight="1" x14ac:dyDescent="0.25">
      <c r="A20" s="28" t="s">
        <v>24</v>
      </c>
      <c r="B20" s="67" t="s">
        <v>5</v>
      </c>
      <c r="C20" s="67" t="s">
        <v>25</v>
      </c>
      <c r="D20" s="58">
        <f t="shared" ref="D20:E20" si="3">+D21</f>
        <v>7492430</v>
      </c>
      <c r="E20" s="58">
        <f t="shared" si="3"/>
        <v>2186339.14</v>
      </c>
      <c r="F20" s="110">
        <f t="shared" si="0"/>
        <v>0.29180641527515105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91"/>
      <c r="W20" s="3"/>
      <c r="X20" s="3"/>
      <c r="Y20" s="3"/>
      <c r="Z20" s="3"/>
      <c r="AC20" s="5"/>
      <c r="AD20" s="5"/>
      <c r="AE20" s="5"/>
      <c r="AF20" s="5"/>
      <c r="AG20" s="5"/>
      <c r="AH20" s="5"/>
      <c r="AI20" s="3"/>
      <c r="AJ20" s="3"/>
      <c r="AK20" s="3"/>
      <c r="AL20" s="3"/>
      <c r="AM20" s="134"/>
      <c r="AN20" s="3"/>
      <c r="AO20" s="3"/>
      <c r="AP20" s="3"/>
      <c r="AQ20" s="3"/>
      <c r="AR20" s="6"/>
      <c r="AS20" s="6"/>
      <c r="AT20" s="3"/>
      <c r="AU20" s="3"/>
      <c r="AV20" s="3"/>
      <c r="AW20" s="3"/>
      <c r="BM20" s="3"/>
      <c r="BN20" s="3"/>
    </row>
    <row r="21" spans="1:66" s="4" customFormat="1" ht="95.45" customHeight="1" x14ac:dyDescent="0.25">
      <c r="A21" s="28" t="s">
        <v>26</v>
      </c>
      <c r="B21" s="95">
        <v>182</v>
      </c>
      <c r="C21" s="68" t="s">
        <v>27</v>
      </c>
      <c r="D21" s="59">
        <f>4753570+2738860</f>
        <v>7492430</v>
      </c>
      <c r="E21" s="59">
        <v>2186339.14</v>
      </c>
      <c r="F21" s="110">
        <f t="shared" si="0"/>
        <v>0.29180641527515105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91"/>
      <c r="W21" s="3"/>
      <c r="X21" s="3"/>
      <c r="Y21" s="3"/>
      <c r="Z21" s="3"/>
      <c r="AC21" s="5"/>
      <c r="AD21" s="5"/>
      <c r="AE21" s="5"/>
      <c r="AF21" s="5"/>
      <c r="AG21" s="5"/>
      <c r="AH21" s="5"/>
      <c r="AI21" s="3"/>
      <c r="AJ21" s="3"/>
      <c r="AK21" s="3"/>
      <c r="AL21" s="3"/>
      <c r="AM21" s="134"/>
      <c r="AN21" s="3"/>
      <c r="AO21" s="3"/>
      <c r="AP21" s="3"/>
      <c r="AQ21" s="3"/>
      <c r="AR21" s="6"/>
      <c r="AS21" s="6"/>
      <c r="AT21" s="3"/>
      <c r="AU21" s="3"/>
      <c r="AV21" s="3"/>
      <c r="AW21" s="3"/>
      <c r="BM21" s="3"/>
      <c r="BN21" s="3"/>
    </row>
    <row r="22" spans="1:66" s="4" customFormat="1" ht="70.150000000000006" customHeight="1" x14ac:dyDescent="0.25">
      <c r="A22" s="28" t="s">
        <v>28</v>
      </c>
      <c r="B22" s="67" t="s">
        <v>5</v>
      </c>
      <c r="C22" s="67" t="s">
        <v>29</v>
      </c>
      <c r="D22" s="58">
        <f>+D23</f>
        <v>52040</v>
      </c>
      <c r="E22" s="58">
        <f>+E23</f>
        <v>8973.0499999999993</v>
      </c>
      <c r="F22" s="110">
        <f t="shared" si="0"/>
        <v>0.17242601844734817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91"/>
      <c r="W22" s="3"/>
      <c r="X22" s="3"/>
      <c r="Y22" s="3"/>
      <c r="Z22" s="3"/>
      <c r="AC22" s="5"/>
      <c r="AD22" s="5"/>
      <c r="AE22" s="5"/>
      <c r="AF22" s="5"/>
      <c r="AG22" s="5"/>
      <c r="AH22" s="5"/>
      <c r="AI22" s="3"/>
      <c r="AJ22" s="3"/>
      <c r="AK22" s="3"/>
      <c r="AL22" s="3"/>
      <c r="AM22" s="134"/>
      <c r="AN22" s="3"/>
      <c r="AO22" s="3"/>
      <c r="AP22" s="3"/>
      <c r="AQ22" s="3"/>
      <c r="AR22" s="6"/>
      <c r="AS22" s="6"/>
      <c r="AT22" s="3"/>
      <c r="AU22" s="3"/>
      <c r="AV22" s="3"/>
      <c r="AW22" s="3"/>
      <c r="BM22" s="3"/>
      <c r="BN22" s="3"/>
    </row>
    <row r="23" spans="1:66" s="4" customFormat="1" ht="109.15" customHeight="1" x14ac:dyDescent="0.25">
      <c r="A23" s="28" t="s">
        <v>30</v>
      </c>
      <c r="B23" s="67" t="s">
        <v>12</v>
      </c>
      <c r="C23" s="68" t="s">
        <v>332</v>
      </c>
      <c r="D23" s="59">
        <f>26550+25490</f>
        <v>52040</v>
      </c>
      <c r="E23" s="59">
        <v>8973.0499999999993</v>
      </c>
      <c r="F23" s="110">
        <f t="shared" si="0"/>
        <v>0.17242601844734817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91"/>
      <c r="W23" s="3"/>
      <c r="X23" s="3"/>
      <c r="Y23" s="3"/>
      <c r="Z23" s="3"/>
      <c r="AC23" s="5"/>
      <c r="AD23" s="5"/>
      <c r="AE23" s="5"/>
      <c r="AF23" s="5"/>
      <c r="AG23" s="5"/>
      <c r="AH23" s="5"/>
      <c r="AI23" s="3"/>
      <c r="AJ23" s="3"/>
      <c r="AK23" s="3"/>
      <c r="AL23" s="3"/>
      <c r="AM23" s="134"/>
      <c r="AN23" s="3"/>
      <c r="AO23" s="3"/>
      <c r="AP23" s="3"/>
      <c r="AQ23" s="3"/>
      <c r="AR23" s="6"/>
      <c r="AS23" s="6"/>
      <c r="AT23" s="3"/>
      <c r="AU23" s="3"/>
      <c r="AV23" s="3"/>
      <c r="AW23" s="3"/>
      <c r="BM23" s="3"/>
      <c r="BN23" s="3"/>
    </row>
    <row r="24" spans="1:66" s="4" customFormat="1" ht="57.6" customHeight="1" x14ac:dyDescent="0.25">
      <c r="A24" s="28" t="s">
        <v>31</v>
      </c>
      <c r="B24" s="67" t="s">
        <v>5</v>
      </c>
      <c r="C24" s="67" t="s">
        <v>32</v>
      </c>
      <c r="D24" s="58">
        <f>+D25</f>
        <v>9262170</v>
      </c>
      <c r="E24" s="58">
        <f>+E25</f>
        <v>2337774.59</v>
      </c>
      <c r="F24" s="110">
        <f t="shared" si="0"/>
        <v>0.25240031115818429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91"/>
      <c r="W24" s="3"/>
      <c r="X24" s="3"/>
      <c r="Y24" s="3"/>
      <c r="Z24" s="3"/>
      <c r="AC24" s="5"/>
      <c r="AD24" s="5"/>
      <c r="AE24" s="5"/>
      <c r="AF24" s="5"/>
      <c r="AG24" s="5"/>
      <c r="AH24" s="5"/>
      <c r="AI24" s="3"/>
      <c r="AJ24" s="3"/>
      <c r="AK24" s="3"/>
      <c r="AL24" s="3"/>
      <c r="AM24" s="134"/>
      <c r="AN24" s="3"/>
      <c r="AO24" s="3"/>
      <c r="AP24" s="3"/>
      <c r="AQ24" s="3"/>
      <c r="AR24" s="6"/>
      <c r="AS24" s="6"/>
      <c r="AT24" s="3"/>
      <c r="AU24" s="3"/>
      <c r="AV24" s="3"/>
      <c r="AW24" s="3"/>
      <c r="BM24" s="3"/>
      <c r="BN24" s="3"/>
    </row>
    <row r="25" spans="1:66" s="4" customFormat="1" ht="94.9" customHeight="1" x14ac:dyDescent="0.25">
      <c r="A25" s="28" t="s">
        <v>33</v>
      </c>
      <c r="B25" s="67" t="s">
        <v>12</v>
      </c>
      <c r="C25" s="68" t="s">
        <v>333</v>
      </c>
      <c r="D25" s="59">
        <f>3045220+6216950</f>
        <v>9262170</v>
      </c>
      <c r="E25" s="59">
        <v>2337774.59</v>
      </c>
      <c r="F25" s="110">
        <f t="shared" si="0"/>
        <v>0.25240031115818429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91"/>
      <c r="W25" s="3"/>
      <c r="X25" s="3"/>
      <c r="Y25" s="3"/>
      <c r="Z25" s="3"/>
      <c r="AC25" s="5"/>
      <c r="AD25" s="5"/>
      <c r="AE25" s="5"/>
      <c r="AF25" s="5"/>
      <c r="AG25" s="5"/>
      <c r="AH25" s="5"/>
      <c r="AI25" s="3"/>
      <c r="AJ25" s="3"/>
      <c r="AK25" s="3"/>
      <c r="AL25" s="3"/>
      <c r="AM25" s="134"/>
      <c r="AN25" s="3"/>
      <c r="AO25" s="3"/>
      <c r="AP25" s="3"/>
      <c r="AQ25" s="3"/>
      <c r="AR25" s="6"/>
      <c r="AS25" s="6"/>
      <c r="AT25" s="3"/>
      <c r="AU25" s="3"/>
      <c r="AV25" s="3"/>
      <c r="AW25" s="3"/>
      <c r="BM25" s="3"/>
      <c r="BN25" s="3"/>
    </row>
    <row r="26" spans="1:66" s="4" customFormat="1" ht="62.45" customHeight="1" x14ac:dyDescent="0.25">
      <c r="A26" s="28" t="s">
        <v>34</v>
      </c>
      <c r="B26" s="67" t="s">
        <v>5</v>
      </c>
      <c r="C26" s="67" t="s">
        <v>35</v>
      </c>
      <c r="D26" s="58">
        <f>+D27</f>
        <v>-988150</v>
      </c>
      <c r="E26" s="58">
        <f>+E27</f>
        <v>-280168.06</v>
      </c>
      <c r="F26" s="110">
        <f t="shared" si="0"/>
        <v>0.28352786520265144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91"/>
      <c r="W26" s="3"/>
      <c r="X26" s="3"/>
      <c r="Y26" s="3"/>
      <c r="Z26" s="3"/>
      <c r="AC26" s="5"/>
      <c r="AD26" s="5"/>
      <c r="AE26" s="5"/>
      <c r="AF26" s="5"/>
      <c r="AG26" s="5"/>
      <c r="AH26" s="5"/>
      <c r="AI26" s="3"/>
      <c r="AJ26" s="3"/>
      <c r="AK26" s="3"/>
      <c r="AL26" s="3"/>
      <c r="AM26" s="134"/>
      <c r="AN26" s="3"/>
      <c r="AO26" s="3"/>
      <c r="AP26" s="3"/>
      <c r="AQ26" s="3"/>
      <c r="AR26" s="6"/>
      <c r="AS26" s="6"/>
      <c r="AT26" s="3"/>
      <c r="AU26" s="3"/>
      <c r="AV26" s="3"/>
      <c r="AW26" s="3"/>
      <c r="BM26" s="3"/>
      <c r="BN26" s="3"/>
    </row>
    <row r="27" spans="1:66" s="4" customFormat="1" ht="96" customHeight="1" x14ac:dyDescent="0.25">
      <c r="A27" s="28" t="s">
        <v>36</v>
      </c>
      <c r="B27" s="67" t="s">
        <v>12</v>
      </c>
      <c r="C27" s="68" t="s">
        <v>334</v>
      </c>
      <c r="D27" s="59">
        <f>-729790-258360</f>
        <v>-988150</v>
      </c>
      <c r="E27" s="59">
        <v>-280168.06</v>
      </c>
      <c r="F27" s="110">
        <f t="shared" si="0"/>
        <v>0.28352786520265144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91"/>
      <c r="W27" s="3"/>
      <c r="X27" s="3"/>
      <c r="Y27" s="3"/>
      <c r="Z27" s="3"/>
      <c r="AC27" s="5"/>
      <c r="AD27" s="5"/>
      <c r="AE27" s="5"/>
      <c r="AF27" s="5"/>
      <c r="AG27" s="5"/>
      <c r="AH27" s="5"/>
      <c r="AI27" s="3"/>
      <c r="AJ27" s="3"/>
      <c r="AK27" s="3"/>
      <c r="AL27" s="3"/>
      <c r="AM27" s="134"/>
      <c r="AN27" s="3"/>
      <c r="AO27" s="3"/>
      <c r="AP27" s="3"/>
      <c r="AQ27" s="3"/>
      <c r="AR27" s="6"/>
      <c r="AS27" s="6"/>
      <c r="AT27" s="3"/>
      <c r="AU27" s="3"/>
      <c r="AV27" s="3"/>
      <c r="AW27" s="3"/>
      <c r="BM27" s="3"/>
      <c r="BN27" s="3"/>
    </row>
    <row r="28" spans="1:66" s="23" customFormat="1" ht="15.6" customHeight="1" x14ac:dyDescent="0.2">
      <c r="A28" s="57" t="s">
        <v>37</v>
      </c>
      <c r="B28" s="67" t="s">
        <v>5</v>
      </c>
      <c r="C28" s="17" t="s">
        <v>38</v>
      </c>
      <c r="D28" s="58">
        <f>+D40+D29+D38+D36</f>
        <v>255800822</v>
      </c>
      <c r="E28" s="58">
        <f>+E40+E29+E38+E36</f>
        <v>19819995.760000002</v>
      </c>
      <c r="F28" s="110">
        <f t="shared" si="0"/>
        <v>7.748214257106649E-2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3"/>
      <c r="U28" s="3"/>
      <c r="V28" s="91"/>
      <c r="W28" s="3"/>
      <c r="X28" s="3"/>
      <c r="Y28" s="22"/>
      <c r="Z28" s="22"/>
      <c r="AC28" s="21"/>
      <c r="AD28" s="21"/>
      <c r="AE28" s="21"/>
      <c r="AF28" s="21"/>
      <c r="AG28" s="21"/>
      <c r="AH28" s="21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BM28" s="22"/>
      <c r="BN28" s="22"/>
    </row>
    <row r="29" spans="1:66" s="23" customFormat="1" ht="25.15" customHeight="1" x14ac:dyDescent="0.2">
      <c r="A29" s="28" t="s">
        <v>39</v>
      </c>
      <c r="B29" s="67" t="s">
        <v>5</v>
      </c>
      <c r="C29" s="29" t="s">
        <v>40</v>
      </c>
      <c r="D29" s="58">
        <f>+D30+D33+D35</f>
        <v>232730822</v>
      </c>
      <c r="E29" s="58">
        <f>+E30+E33+E35</f>
        <v>22439757.550000001</v>
      </c>
      <c r="F29" s="110">
        <f t="shared" si="0"/>
        <v>9.6419362752046656E-2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3"/>
      <c r="U29" s="3"/>
      <c r="V29" s="91"/>
      <c r="W29" s="3"/>
      <c r="X29" s="3"/>
      <c r="Y29" s="22"/>
      <c r="Z29" s="22"/>
      <c r="AC29" s="21"/>
      <c r="AD29" s="21"/>
      <c r="AE29" s="21"/>
      <c r="AF29" s="21"/>
      <c r="AG29" s="21"/>
      <c r="AH29" s="21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BM29" s="22"/>
      <c r="BN29" s="22"/>
    </row>
    <row r="30" spans="1:66" s="23" customFormat="1" ht="27" customHeight="1" x14ac:dyDescent="0.2">
      <c r="A30" s="28" t="s">
        <v>41</v>
      </c>
      <c r="B30" s="67" t="s">
        <v>5</v>
      </c>
      <c r="C30" s="29" t="s">
        <v>42</v>
      </c>
      <c r="D30" s="58">
        <f>+D31+D32</f>
        <v>145371809</v>
      </c>
      <c r="E30" s="58">
        <f>+E31+E32</f>
        <v>6766412.6000000006</v>
      </c>
      <c r="F30" s="110">
        <f t="shared" si="0"/>
        <v>4.6545562351776197E-2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3"/>
      <c r="U30" s="3"/>
      <c r="V30" s="91"/>
      <c r="W30" s="3"/>
      <c r="X30" s="3"/>
      <c r="Y30" s="22"/>
      <c r="Z30" s="22"/>
      <c r="AC30" s="21"/>
      <c r="AD30" s="21"/>
      <c r="AE30" s="21"/>
      <c r="AF30" s="21"/>
      <c r="AG30" s="21"/>
      <c r="AH30" s="21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BM30" s="22"/>
      <c r="BN30" s="22"/>
    </row>
    <row r="31" spans="1:66" s="23" customFormat="1" ht="26.45" customHeight="1" x14ac:dyDescent="0.2">
      <c r="A31" s="28" t="s">
        <v>41</v>
      </c>
      <c r="B31" s="67" t="s">
        <v>12</v>
      </c>
      <c r="C31" s="29" t="s">
        <v>43</v>
      </c>
      <c r="D31" s="58">
        <f>98854280+46517529</f>
        <v>145371809</v>
      </c>
      <c r="E31" s="111">
        <v>6824253.7000000002</v>
      </c>
      <c r="F31" s="110">
        <f t="shared" si="0"/>
        <v>4.6943446235851685E-2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3"/>
      <c r="U31" s="3"/>
      <c r="V31" s="91"/>
      <c r="W31" s="3"/>
      <c r="X31" s="3"/>
      <c r="Y31" s="22"/>
      <c r="Z31" s="22"/>
      <c r="AC31" s="21"/>
      <c r="AD31" s="21"/>
      <c r="AE31" s="21"/>
      <c r="AF31" s="21"/>
      <c r="AG31" s="21"/>
      <c r="AH31" s="21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BM31" s="22"/>
      <c r="BN31" s="22"/>
    </row>
    <row r="32" spans="1:66" s="23" customFormat="1" ht="39.6" customHeight="1" x14ac:dyDescent="0.2">
      <c r="A32" s="117" t="s">
        <v>446</v>
      </c>
      <c r="B32" s="67" t="s">
        <v>12</v>
      </c>
      <c r="C32" s="29" t="s">
        <v>447</v>
      </c>
      <c r="D32" s="58">
        <v>0</v>
      </c>
      <c r="E32" s="111">
        <v>-57841.1</v>
      </c>
      <c r="F32" s="110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3"/>
      <c r="U32" s="3"/>
      <c r="V32" s="109"/>
      <c r="W32" s="3"/>
      <c r="X32" s="3"/>
      <c r="Y32" s="22"/>
      <c r="Z32" s="22"/>
      <c r="AC32" s="21"/>
      <c r="AD32" s="21"/>
      <c r="AE32" s="21"/>
      <c r="AF32" s="21"/>
      <c r="AG32" s="21"/>
      <c r="AH32" s="21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BM32" s="22"/>
      <c r="BN32" s="22"/>
    </row>
    <row r="33" spans="1:66" s="23" customFormat="1" ht="42" customHeight="1" x14ac:dyDescent="0.2">
      <c r="A33" s="28" t="s">
        <v>44</v>
      </c>
      <c r="B33" s="67" t="s">
        <v>5</v>
      </c>
      <c r="C33" s="29" t="s">
        <v>45</v>
      </c>
      <c r="D33" s="58">
        <f>+D34</f>
        <v>87359013</v>
      </c>
      <c r="E33" s="58">
        <f>+E34</f>
        <v>15670736.1</v>
      </c>
      <c r="F33" s="110">
        <f t="shared" si="0"/>
        <v>0.17938316336060253</v>
      </c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3"/>
      <c r="U33" s="3"/>
      <c r="V33" s="91"/>
      <c r="W33" s="3"/>
      <c r="X33" s="3"/>
      <c r="Y33" s="22"/>
      <c r="Z33" s="22"/>
      <c r="AC33" s="21"/>
      <c r="AD33" s="21"/>
      <c r="AE33" s="21"/>
      <c r="AF33" s="21"/>
      <c r="AG33" s="21"/>
      <c r="AH33" s="21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BM33" s="22"/>
      <c r="BN33" s="22"/>
    </row>
    <row r="34" spans="1:66" s="23" customFormat="1" ht="56.45" customHeight="1" x14ac:dyDescent="0.2">
      <c r="A34" s="28" t="s">
        <v>46</v>
      </c>
      <c r="B34" s="67" t="s">
        <v>12</v>
      </c>
      <c r="C34" s="29" t="s">
        <v>47</v>
      </c>
      <c r="D34" s="58">
        <f>59405000+27954013</f>
        <v>87359013</v>
      </c>
      <c r="E34" s="111">
        <v>15670736.1</v>
      </c>
      <c r="F34" s="110">
        <f t="shared" si="0"/>
        <v>0.17938316336060253</v>
      </c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3"/>
      <c r="U34" s="3"/>
      <c r="V34" s="91"/>
      <c r="W34" s="3"/>
      <c r="X34" s="3"/>
      <c r="Y34" s="22"/>
      <c r="Z34" s="22"/>
      <c r="AC34" s="21"/>
      <c r="AD34" s="21"/>
      <c r="AE34" s="21"/>
      <c r="AF34" s="21"/>
      <c r="AG34" s="21"/>
      <c r="AH34" s="21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BM34" s="22"/>
      <c r="BN34" s="22"/>
    </row>
    <row r="35" spans="1:66" s="23" customFormat="1" ht="44.45" customHeight="1" x14ac:dyDescent="0.2">
      <c r="A35" s="117" t="s">
        <v>441</v>
      </c>
      <c r="B35" s="67" t="s">
        <v>12</v>
      </c>
      <c r="C35" s="85" t="s">
        <v>442</v>
      </c>
      <c r="D35" s="58">
        <v>0</v>
      </c>
      <c r="E35" s="111">
        <v>2608.85</v>
      </c>
      <c r="F35" s="110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3"/>
      <c r="U35" s="3"/>
      <c r="V35" s="109"/>
      <c r="W35" s="3"/>
      <c r="X35" s="3"/>
      <c r="Y35" s="22"/>
      <c r="Z35" s="22"/>
      <c r="AC35" s="21"/>
      <c r="AD35" s="21"/>
      <c r="AE35" s="21"/>
      <c r="AF35" s="21"/>
      <c r="AG35" s="21"/>
      <c r="AH35" s="21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BM35" s="22"/>
      <c r="BN35" s="22"/>
    </row>
    <row r="36" spans="1:66" s="23" customFormat="1" ht="26.45" customHeight="1" x14ac:dyDescent="0.2">
      <c r="A36" s="117" t="s">
        <v>443</v>
      </c>
      <c r="B36" s="67" t="s">
        <v>12</v>
      </c>
      <c r="C36" s="85" t="s">
        <v>444</v>
      </c>
      <c r="D36" s="58">
        <f>+D37</f>
        <v>0</v>
      </c>
      <c r="E36" s="111">
        <f>+E37</f>
        <v>-1116436.1200000001</v>
      </c>
      <c r="F36" s="110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3"/>
      <c r="U36" s="3"/>
      <c r="V36" s="109"/>
      <c r="W36" s="3"/>
      <c r="X36" s="3"/>
      <c r="Y36" s="22"/>
      <c r="Z36" s="22"/>
      <c r="AC36" s="21"/>
      <c r="AD36" s="21"/>
      <c r="AE36" s="21"/>
      <c r="AF36" s="21"/>
      <c r="AG36" s="21"/>
      <c r="AH36" s="21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BM36" s="22"/>
      <c r="BN36" s="22"/>
    </row>
    <row r="37" spans="1:66" s="23" customFormat="1" ht="30.6" customHeight="1" x14ac:dyDescent="0.2">
      <c r="A37" s="117" t="s">
        <v>443</v>
      </c>
      <c r="B37" s="67" t="s">
        <v>5</v>
      </c>
      <c r="C37" s="85" t="s">
        <v>445</v>
      </c>
      <c r="D37" s="58">
        <v>0</v>
      </c>
      <c r="E37" s="111">
        <v>-1116436.1200000001</v>
      </c>
      <c r="F37" s="110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3"/>
      <c r="U37" s="3"/>
      <c r="V37" s="109"/>
      <c r="W37" s="3"/>
      <c r="X37" s="3"/>
      <c r="Y37" s="22"/>
      <c r="Z37" s="22"/>
      <c r="AC37" s="21"/>
      <c r="AD37" s="21"/>
      <c r="AE37" s="21"/>
      <c r="AF37" s="21"/>
      <c r="AG37" s="21"/>
      <c r="AH37" s="21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BM37" s="22"/>
      <c r="BN37" s="22"/>
    </row>
    <row r="38" spans="1:66" s="23" customFormat="1" ht="12" customHeight="1" x14ac:dyDescent="0.2">
      <c r="A38" s="28" t="s">
        <v>335</v>
      </c>
      <c r="B38" s="67" t="s">
        <v>5</v>
      </c>
      <c r="C38" s="29" t="s">
        <v>336</v>
      </c>
      <c r="D38" s="58">
        <f>+D39</f>
        <v>20000</v>
      </c>
      <c r="E38" s="58">
        <f t="shared" ref="E38" si="4">+E39</f>
        <v>0</v>
      </c>
      <c r="F38" s="110">
        <f t="shared" si="0"/>
        <v>0</v>
      </c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3"/>
      <c r="U38" s="3"/>
      <c r="V38" s="91"/>
      <c r="W38" s="3"/>
      <c r="X38" s="3"/>
      <c r="Y38" s="22"/>
      <c r="Z38" s="22"/>
      <c r="AC38" s="21"/>
      <c r="AD38" s="21"/>
      <c r="AE38" s="21"/>
      <c r="AF38" s="21"/>
      <c r="AG38" s="21"/>
      <c r="AH38" s="21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BM38" s="22"/>
      <c r="BN38" s="22"/>
    </row>
    <row r="39" spans="1:66" s="23" customFormat="1" ht="15" customHeight="1" x14ac:dyDescent="0.2">
      <c r="A39" s="28" t="s">
        <v>335</v>
      </c>
      <c r="B39" s="67" t="s">
        <v>12</v>
      </c>
      <c r="C39" s="29" t="s">
        <v>337</v>
      </c>
      <c r="D39" s="58">
        <v>20000</v>
      </c>
      <c r="E39" s="58">
        <v>0</v>
      </c>
      <c r="F39" s="110">
        <f t="shared" si="0"/>
        <v>0</v>
      </c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3"/>
      <c r="U39" s="3"/>
      <c r="V39" s="91"/>
      <c r="W39" s="3"/>
      <c r="X39" s="3"/>
      <c r="Y39" s="22"/>
      <c r="Z39" s="22"/>
      <c r="AC39" s="21"/>
      <c r="AD39" s="21"/>
      <c r="AE39" s="21"/>
      <c r="AF39" s="21"/>
      <c r="AG39" s="21"/>
      <c r="AH39" s="21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BM39" s="22"/>
      <c r="BN39" s="22"/>
    </row>
    <row r="40" spans="1:66" s="4" customFormat="1" ht="26.45" customHeight="1" x14ac:dyDescent="0.25">
      <c r="A40" s="28" t="s">
        <v>48</v>
      </c>
      <c r="B40" s="67" t="s">
        <v>5</v>
      </c>
      <c r="C40" s="69" t="s">
        <v>49</v>
      </c>
      <c r="D40" s="58">
        <f>+D41</f>
        <v>23050000</v>
      </c>
      <c r="E40" s="58">
        <f>+E41</f>
        <v>-1503325.67</v>
      </c>
      <c r="F40" s="110">
        <f t="shared" si="0"/>
        <v>-6.5220202603036875E-2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91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3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27.6" customHeight="1" x14ac:dyDescent="0.25">
      <c r="A41" s="28" t="s">
        <v>50</v>
      </c>
      <c r="B41" s="67" t="s">
        <v>12</v>
      </c>
      <c r="C41" s="69" t="s">
        <v>51</v>
      </c>
      <c r="D41" s="58">
        <v>23050000</v>
      </c>
      <c r="E41" s="111">
        <v>-1503325.67</v>
      </c>
      <c r="F41" s="110">
        <f t="shared" si="0"/>
        <v>-6.5220202603036875E-2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91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89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23" customFormat="1" ht="15.6" customHeight="1" x14ac:dyDescent="0.2">
      <c r="A42" s="57" t="s">
        <v>52</v>
      </c>
      <c r="B42" s="67" t="s">
        <v>5</v>
      </c>
      <c r="C42" s="17" t="s">
        <v>53</v>
      </c>
      <c r="D42" s="58">
        <f>+D43+D45</f>
        <v>81450000</v>
      </c>
      <c r="E42" s="58">
        <f t="shared" ref="E42" si="5">+E43+E45</f>
        <v>11021923.860000001</v>
      </c>
      <c r="F42" s="110">
        <f t="shared" si="0"/>
        <v>0.13532134880294661</v>
      </c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3"/>
      <c r="U42" s="3"/>
      <c r="V42" s="91"/>
      <c r="W42" s="3"/>
      <c r="X42" s="3"/>
      <c r="Y42" s="22"/>
      <c r="Z42" s="22"/>
      <c r="AC42" s="21"/>
      <c r="AD42" s="21"/>
      <c r="AE42" s="21"/>
      <c r="AF42" s="21"/>
      <c r="AG42" s="21"/>
      <c r="AH42" s="21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BM42" s="22"/>
      <c r="BN42" s="22"/>
    </row>
    <row r="43" spans="1:66" s="4" customFormat="1" ht="14.45" customHeight="1" x14ac:dyDescent="0.25">
      <c r="A43" s="28" t="s">
        <v>54</v>
      </c>
      <c r="B43" s="67" t="s">
        <v>5</v>
      </c>
      <c r="C43" s="17" t="s">
        <v>55</v>
      </c>
      <c r="D43" s="58">
        <f>+D44</f>
        <v>14250000</v>
      </c>
      <c r="E43" s="58">
        <f>+E44</f>
        <v>723554.88</v>
      </c>
      <c r="F43" s="110">
        <f t="shared" si="0"/>
        <v>5.0775781052631579E-2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91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41.45" customHeight="1" x14ac:dyDescent="0.25">
      <c r="A44" s="28" t="s">
        <v>56</v>
      </c>
      <c r="B44" s="67" t="s">
        <v>12</v>
      </c>
      <c r="C44" s="17" t="s">
        <v>57</v>
      </c>
      <c r="D44" s="58">
        <v>14250000</v>
      </c>
      <c r="E44" s="111">
        <v>723554.88</v>
      </c>
      <c r="F44" s="110">
        <f t="shared" si="0"/>
        <v>5.0775781052631579E-2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91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89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15.6" customHeight="1" x14ac:dyDescent="0.25">
      <c r="A45" s="28" t="s">
        <v>58</v>
      </c>
      <c r="B45" s="67" t="s">
        <v>5</v>
      </c>
      <c r="C45" s="67" t="s">
        <v>59</v>
      </c>
      <c r="D45" s="58">
        <f>+D46+D48</f>
        <v>67200000</v>
      </c>
      <c r="E45" s="58">
        <f>+E46+E48</f>
        <v>10298368.98</v>
      </c>
      <c r="F45" s="110">
        <f t="shared" si="0"/>
        <v>0.15324953839285715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91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16.149999999999999" customHeight="1" x14ac:dyDescent="0.25">
      <c r="A46" s="28" t="s">
        <v>60</v>
      </c>
      <c r="B46" s="67" t="s">
        <v>5</v>
      </c>
      <c r="C46" s="67" t="s">
        <v>61</v>
      </c>
      <c r="D46" s="58">
        <f>+D47</f>
        <v>55090000</v>
      </c>
      <c r="E46" s="58">
        <f>+E47</f>
        <v>8960104.9100000001</v>
      </c>
      <c r="F46" s="110">
        <f t="shared" si="0"/>
        <v>0.16264485224178618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91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3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4" customFormat="1" ht="26.45" customHeight="1" x14ac:dyDescent="0.25">
      <c r="A47" s="28" t="s">
        <v>62</v>
      </c>
      <c r="B47" s="67" t="s">
        <v>12</v>
      </c>
      <c r="C47" s="67" t="s">
        <v>63</v>
      </c>
      <c r="D47" s="58">
        <v>55090000</v>
      </c>
      <c r="E47" s="111">
        <v>8960104.9100000001</v>
      </c>
      <c r="F47" s="110">
        <f t="shared" si="0"/>
        <v>0.16264485224178618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91"/>
      <c r="W47" s="3"/>
      <c r="X47" s="3"/>
      <c r="Y47" s="3"/>
      <c r="Z47" s="3"/>
      <c r="AC47" s="5"/>
      <c r="AD47" s="5"/>
      <c r="AE47" s="5"/>
      <c r="AF47" s="5"/>
      <c r="AG47" s="5"/>
      <c r="AH47" s="5"/>
      <c r="AI47" s="3"/>
      <c r="AJ47" s="3"/>
      <c r="AK47" s="3"/>
      <c r="AL47" s="3"/>
      <c r="AM47" s="3"/>
      <c r="AN47" s="3"/>
      <c r="AO47" s="3"/>
      <c r="AP47" s="3"/>
      <c r="AQ47" s="3"/>
      <c r="AR47" s="6"/>
      <c r="AS47" s="6"/>
      <c r="AT47" s="3"/>
      <c r="AU47" s="3"/>
      <c r="AV47" s="3"/>
      <c r="AW47" s="3"/>
      <c r="BM47" s="3"/>
      <c r="BN47" s="3"/>
    </row>
    <row r="48" spans="1:66" s="4" customFormat="1" ht="13.15" customHeight="1" x14ac:dyDescent="0.25">
      <c r="A48" s="28" t="s">
        <v>64</v>
      </c>
      <c r="B48" s="67" t="s">
        <v>5</v>
      </c>
      <c r="C48" s="67" t="s">
        <v>65</v>
      </c>
      <c r="D48" s="58">
        <f>+D49</f>
        <v>12110000</v>
      </c>
      <c r="E48" s="58">
        <f>+E49</f>
        <v>1338264.07</v>
      </c>
      <c r="F48" s="110">
        <f t="shared" si="0"/>
        <v>0.11050900660611065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91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3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0" customHeight="1" x14ac:dyDescent="0.25">
      <c r="A49" s="28" t="s">
        <v>66</v>
      </c>
      <c r="B49" s="67" t="s">
        <v>12</v>
      </c>
      <c r="C49" s="67" t="s">
        <v>67</v>
      </c>
      <c r="D49" s="58">
        <v>12110000</v>
      </c>
      <c r="E49" s="111">
        <v>1338264.07</v>
      </c>
      <c r="F49" s="110">
        <f t="shared" si="0"/>
        <v>0.11050900660611065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91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89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31" customFormat="1" ht="15.6" customHeight="1" x14ac:dyDescent="0.2">
      <c r="A50" s="57" t="s">
        <v>68</v>
      </c>
      <c r="B50" s="16" t="s">
        <v>5</v>
      </c>
      <c r="C50" s="17" t="s">
        <v>69</v>
      </c>
      <c r="D50" s="58">
        <f>+D51+D53</f>
        <v>21645000</v>
      </c>
      <c r="E50" s="58">
        <f t="shared" ref="E50" si="6">+E51+E53</f>
        <v>4475919.8600000003</v>
      </c>
      <c r="F50" s="110">
        <f t="shared" si="0"/>
        <v>0.20678770431970434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91"/>
      <c r="U50" s="91"/>
      <c r="V50" s="91"/>
      <c r="W50" s="91"/>
      <c r="X50" s="91"/>
      <c r="Y50" s="30"/>
      <c r="Z50" s="30"/>
      <c r="AC50" s="32"/>
      <c r="AD50" s="32"/>
      <c r="AE50" s="32"/>
      <c r="AF50" s="32"/>
      <c r="AG50" s="32"/>
      <c r="AH50" s="32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BM50" s="30"/>
      <c r="BN50" s="30"/>
    </row>
    <row r="51" spans="1:66" s="31" customFormat="1" ht="28.9" customHeight="1" x14ac:dyDescent="0.2">
      <c r="A51" s="28" t="s">
        <v>70</v>
      </c>
      <c r="B51" s="67" t="s">
        <v>5</v>
      </c>
      <c r="C51" s="17" t="s">
        <v>71</v>
      </c>
      <c r="D51" s="58">
        <f>+D52</f>
        <v>21600000</v>
      </c>
      <c r="E51" s="58">
        <f>+E52</f>
        <v>4475919.8600000003</v>
      </c>
      <c r="F51" s="110">
        <f t="shared" si="0"/>
        <v>0.20721851203703706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91"/>
      <c r="U51" s="91"/>
      <c r="V51" s="91"/>
      <c r="W51" s="91"/>
      <c r="X51" s="91"/>
      <c r="Y51" s="30"/>
      <c r="Z51" s="30"/>
      <c r="AC51" s="32"/>
      <c r="AD51" s="32"/>
      <c r="AE51" s="32"/>
      <c r="AF51" s="32"/>
      <c r="AG51" s="32"/>
      <c r="AH51" s="32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BM51" s="30"/>
      <c r="BN51" s="30"/>
    </row>
    <row r="52" spans="1:66" s="4" customFormat="1" ht="40.15" customHeight="1" x14ac:dyDescent="0.25">
      <c r="A52" s="28" t="s">
        <v>72</v>
      </c>
      <c r="B52" s="67" t="s">
        <v>12</v>
      </c>
      <c r="C52" s="17" t="s">
        <v>73</v>
      </c>
      <c r="D52" s="58">
        <v>21600000</v>
      </c>
      <c r="E52" s="111">
        <v>4475919.8600000003</v>
      </c>
      <c r="F52" s="110">
        <f t="shared" si="0"/>
        <v>0.20721851203703706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91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89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4" customFormat="1" ht="30.6" customHeight="1" x14ac:dyDescent="0.25">
      <c r="A53" s="28" t="s">
        <v>74</v>
      </c>
      <c r="B53" s="16" t="s">
        <v>5</v>
      </c>
      <c r="C53" s="17" t="s">
        <v>75</v>
      </c>
      <c r="D53" s="58">
        <f>+D54</f>
        <v>45000</v>
      </c>
      <c r="E53" s="58">
        <f t="shared" ref="E53" si="7">+E54</f>
        <v>0</v>
      </c>
      <c r="F53" s="110">
        <f t="shared" si="0"/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91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28.9" customHeight="1" x14ac:dyDescent="0.25">
      <c r="A54" s="28" t="s">
        <v>76</v>
      </c>
      <c r="B54" s="16" t="s">
        <v>5</v>
      </c>
      <c r="C54" s="17" t="s">
        <v>78</v>
      </c>
      <c r="D54" s="58">
        <f t="shared" ref="D54:E54" si="8">+D55</f>
        <v>45000</v>
      </c>
      <c r="E54" s="58">
        <f t="shared" si="8"/>
        <v>0</v>
      </c>
      <c r="F54" s="110">
        <f t="shared" si="0"/>
        <v>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91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25.9" customHeight="1" x14ac:dyDescent="0.25">
      <c r="A55" s="28" t="s">
        <v>76</v>
      </c>
      <c r="B55" s="16" t="s">
        <v>77</v>
      </c>
      <c r="C55" s="17" t="s">
        <v>313</v>
      </c>
      <c r="D55" s="58">
        <f>15000+30000</f>
        <v>45000</v>
      </c>
      <c r="E55" s="58">
        <v>0</v>
      </c>
      <c r="F55" s="110">
        <f t="shared" si="0"/>
        <v>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91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25.9" customHeight="1" x14ac:dyDescent="0.25">
      <c r="A56" s="117" t="s">
        <v>448</v>
      </c>
      <c r="B56" s="16" t="s">
        <v>5</v>
      </c>
      <c r="C56" s="85" t="s">
        <v>452</v>
      </c>
      <c r="D56" s="58">
        <f t="shared" ref="D56:E58" si="9">+D57</f>
        <v>0</v>
      </c>
      <c r="E56" s="58">
        <f t="shared" si="9"/>
        <v>0.52</v>
      </c>
      <c r="F56" s="110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09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25.9" customHeight="1" x14ac:dyDescent="0.25">
      <c r="A57" s="117" t="s">
        <v>449</v>
      </c>
      <c r="B57" s="16" t="s">
        <v>5</v>
      </c>
      <c r="C57" s="85" t="s">
        <v>453</v>
      </c>
      <c r="D57" s="58">
        <f t="shared" si="9"/>
        <v>0</v>
      </c>
      <c r="E57" s="58">
        <f t="shared" si="9"/>
        <v>0.52</v>
      </c>
      <c r="F57" s="110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09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42" customHeight="1" x14ac:dyDescent="0.25">
      <c r="A58" s="117" t="s">
        <v>450</v>
      </c>
      <c r="B58" s="16" t="s">
        <v>5</v>
      </c>
      <c r="C58" s="85" t="s">
        <v>454</v>
      </c>
      <c r="D58" s="58">
        <f t="shared" si="9"/>
        <v>0</v>
      </c>
      <c r="E58" s="58">
        <f t="shared" si="9"/>
        <v>0.52</v>
      </c>
      <c r="F58" s="11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09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55.15" customHeight="1" x14ac:dyDescent="0.25">
      <c r="A59" s="117" t="s">
        <v>451</v>
      </c>
      <c r="B59" s="16" t="s">
        <v>12</v>
      </c>
      <c r="C59" s="85" t="s">
        <v>455</v>
      </c>
      <c r="D59" s="58">
        <v>0</v>
      </c>
      <c r="E59" s="111">
        <v>0.52</v>
      </c>
      <c r="F59" s="110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09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23" customFormat="1" ht="43.9" customHeight="1" x14ac:dyDescent="0.2">
      <c r="A60" s="57" t="s">
        <v>80</v>
      </c>
      <c r="B60" s="16" t="s">
        <v>5</v>
      </c>
      <c r="C60" s="17" t="s">
        <v>81</v>
      </c>
      <c r="D60" s="58">
        <f>+D61+D74+D77+D71</f>
        <v>97242921</v>
      </c>
      <c r="E60" s="58">
        <f>+E61+E74+E77+E71</f>
        <v>30415309.920000002</v>
      </c>
      <c r="F60" s="110">
        <f t="shared" si="0"/>
        <v>0.31277659707486577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3"/>
      <c r="U60" s="3"/>
      <c r="V60" s="91"/>
      <c r="W60" s="3"/>
      <c r="X60" s="3"/>
      <c r="Y60" s="22"/>
      <c r="Z60" s="22"/>
      <c r="AC60" s="21"/>
      <c r="AD60" s="21"/>
      <c r="AE60" s="21"/>
      <c r="AF60" s="21"/>
      <c r="AG60" s="21"/>
      <c r="AH60" s="21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BM60" s="22"/>
      <c r="BN60" s="22"/>
    </row>
    <row r="61" spans="1:66" s="4" customFormat="1" ht="69.599999999999994" customHeight="1" x14ac:dyDescent="0.25">
      <c r="A61" s="56" t="s">
        <v>82</v>
      </c>
      <c r="B61" s="70" t="s">
        <v>5</v>
      </c>
      <c r="C61" s="71" t="s">
        <v>83</v>
      </c>
      <c r="D61" s="72">
        <f>D62+D65+D68</f>
        <v>78533808</v>
      </c>
      <c r="E61" s="72">
        <f t="shared" ref="E61" si="10">E62+E65+E68</f>
        <v>25438078.469999999</v>
      </c>
      <c r="F61" s="110">
        <f t="shared" si="0"/>
        <v>0.32391245398414908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91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57" customHeight="1" x14ac:dyDescent="0.25">
      <c r="A62" s="56" t="s">
        <v>84</v>
      </c>
      <c r="B62" s="70" t="s">
        <v>5</v>
      </c>
      <c r="C62" s="71" t="s">
        <v>85</v>
      </c>
      <c r="D62" s="72">
        <f t="shared" ref="D62:E63" si="11">+D63</f>
        <v>62103901</v>
      </c>
      <c r="E62" s="72">
        <f t="shared" si="11"/>
        <v>21572292.27</v>
      </c>
      <c r="F62" s="110">
        <f t="shared" si="0"/>
        <v>0.34735808737682999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91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69" customHeight="1" x14ac:dyDescent="0.25">
      <c r="A63" s="56" t="s">
        <v>86</v>
      </c>
      <c r="B63" s="70" t="s">
        <v>5</v>
      </c>
      <c r="C63" s="71" t="s">
        <v>87</v>
      </c>
      <c r="D63" s="72">
        <f t="shared" si="11"/>
        <v>62103901</v>
      </c>
      <c r="E63" s="72">
        <f t="shared" si="11"/>
        <v>21572292.27</v>
      </c>
      <c r="F63" s="110">
        <f t="shared" si="0"/>
        <v>0.34735808737682999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91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67.150000000000006" customHeight="1" x14ac:dyDescent="0.25">
      <c r="A64" s="56" t="s">
        <v>315</v>
      </c>
      <c r="B64" s="70" t="s">
        <v>77</v>
      </c>
      <c r="C64" s="71" t="s">
        <v>314</v>
      </c>
      <c r="D64" s="72">
        <f>60890993+1212908</f>
        <v>62103901</v>
      </c>
      <c r="E64" s="111">
        <v>21572292.27</v>
      </c>
      <c r="F64" s="110">
        <f t="shared" si="0"/>
        <v>0.34735808737682999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91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70.900000000000006" customHeight="1" x14ac:dyDescent="0.25">
      <c r="A65" s="56" t="s">
        <v>88</v>
      </c>
      <c r="B65" s="70" t="s">
        <v>5</v>
      </c>
      <c r="C65" s="71" t="s">
        <v>89</v>
      </c>
      <c r="D65" s="72">
        <f t="shared" ref="D65:E66" si="12">+D66</f>
        <v>11258652</v>
      </c>
      <c r="E65" s="72">
        <f t="shared" si="12"/>
        <v>2769952.86</v>
      </c>
      <c r="F65" s="110">
        <f t="shared" si="0"/>
        <v>0.24602881943593247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91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69" customHeight="1" x14ac:dyDescent="0.25">
      <c r="A66" s="56" t="s">
        <v>90</v>
      </c>
      <c r="B66" s="70" t="s">
        <v>5</v>
      </c>
      <c r="C66" s="71" t="s">
        <v>91</v>
      </c>
      <c r="D66" s="72">
        <f t="shared" si="12"/>
        <v>11258652</v>
      </c>
      <c r="E66" s="72">
        <f t="shared" si="12"/>
        <v>2769952.86</v>
      </c>
      <c r="F66" s="110">
        <f t="shared" si="0"/>
        <v>0.24602881943593247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91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69.599999999999994" customHeight="1" x14ac:dyDescent="0.25">
      <c r="A67" s="56" t="s">
        <v>317</v>
      </c>
      <c r="B67" s="70" t="s">
        <v>77</v>
      </c>
      <c r="C67" s="71" t="s">
        <v>316</v>
      </c>
      <c r="D67" s="72">
        <f>9012052+2246600</f>
        <v>11258652</v>
      </c>
      <c r="E67" s="111">
        <v>2769952.86</v>
      </c>
      <c r="F67" s="110">
        <f t="shared" si="0"/>
        <v>0.24602881943593247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91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42" customHeight="1" x14ac:dyDescent="0.25">
      <c r="A68" s="56" t="s">
        <v>92</v>
      </c>
      <c r="B68" s="70" t="s">
        <v>5</v>
      </c>
      <c r="C68" s="71" t="s">
        <v>93</v>
      </c>
      <c r="D68" s="72">
        <f t="shared" ref="D68:E69" si="13">+D69</f>
        <v>5171255</v>
      </c>
      <c r="E68" s="72">
        <f t="shared" si="13"/>
        <v>1095833.3400000001</v>
      </c>
      <c r="F68" s="110">
        <f t="shared" si="0"/>
        <v>0.21190858698710469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91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28.9" customHeight="1" x14ac:dyDescent="0.25">
      <c r="A69" s="56" t="s">
        <v>94</v>
      </c>
      <c r="B69" s="70" t="s">
        <v>5</v>
      </c>
      <c r="C69" s="71" t="s">
        <v>95</v>
      </c>
      <c r="D69" s="72">
        <f t="shared" si="13"/>
        <v>5171255</v>
      </c>
      <c r="E69" s="72">
        <f t="shared" si="13"/>
        <v>1095833.3400000001</v>
      </c>
      <c r="F69" s="110">
        <f t="shared" si="0"/>
        <v>0.21190858698710469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91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38.25" x14ac:dyDescent="0.25">
      <c r="A70" s="56" t="s">
        <v>319</v>
      </c>
      <c r="B70" s="70" t="s">
        <v>77</v>
      </c>
      <c r="C70" s="71" t="s">
        <v>318</v>
      </c>
      <c r="D70" s="72">
        <f>5502231-330976</f>
        <v>5171255</v>
      </c>
      <c r="E70" s="111">
        <v>1095833.3400000001</v>
      </c>
      <c r="F70" s="110">
        <f t="shared" si="0"/>
        <v>0.21190858698710469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91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58.9" customHeight="1" x14ac:dyDescent="0.25">
      <c r="A71" s="117" t="s">
        <v>456</v>
      </c>
      <c r="B71" s="70" t="s">
        <v>5</v>
      </c>
      <c r="C71" s="85" t="s">
        <v>459</v>
      </c>
      <c r="D71" s="72">
        <f>+D72</f>
        <v>0</v>
      </c>
      <c r="E71" s="111">
        <f>+E72</f>
        <v>3044.6</v>
      </c>
      <c r="F71" s="110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09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56.45" customHeight="1" x14ac:dyDescent="0.25">
      <c r="A72" s="117" t="s">
        <v>457</v>
      </c>
      <c r="B72" s="70" t="s">
        <v>5</v>
      </c>
      <c r="C72" s="85" t="s">
        <v>460</v>
      </c>
      <c r="D72" s="72">
        <f>+D73</f>
        <v>0</v>
      </c>
      <c r="E72" s="72">
        <f>+E73</f>
        <v>3044.6</v>
      </c>
      <c r="F72" s="110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09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140.25" x14ac:dyDescent="0.25">
      <c r="A73" s="117" t="s">
        <v>458</v>
      </c>
      <c r="B73" s="70" t="s">
        <v>77</v>
      </c>
      <c r="C73" s="85" t="s">
        <v>461</v>
      </c>
      <c r="D73" s="72">
        <v>0</v>
      </c>
      <c r="E73" s="111">
        <v>3044.6</v>
      </c>
      <c r="F73" s="110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09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27.6" customHeight="1" x14ac:dyDescent="0.25">
      <c r="A74" s="56" t="s">
        <v>96</v>
      </c>
      <c r="B74" s="70" t="s">
        <v>5</v>
      </c>
      <c r="C74" s="71" t="s">
        <v>97</v>
      </c>
      <c r="D74" s="72">
        <f>+D75</f>
        <v>316000</v>
      </c>
      <c r="E74" s="72">
        <f t="shared" ref="D74:E75" si="14">+E75</f>
        <v>320424</v>
      </c>
      <c r="F74" s="110">
        <f t="shared" ref="F74:F136" si="15">+E74/D74</f>
        <v>1.014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91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40.9" customHeight="1" x14ac:dyDescent="0.25">
      <c r="A75" s="56" t="s">
        <v>98</v>
      </c>
      <c r="B75" s="70" t="s">
        <v>5</v>
      </c>
      <c r="C75" s="71" t="s">
        <v>99</v>
      </c>
      <c r="D75" s="72">
        <f t="shared" si="14"/>
        <v>316000</v>
      </c>
      <c r="E75" s="72">
        <f t="shared" si="14"/>
        <v>320424</v>
      </c>
      <c r="F75" s="110">
        <f t="shared" si="15"/>
        <v>1.014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91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6"/>
      <c r="AS75" s="6"/>
      <c r="AT75" s="3"/>
      <c r="AU75" s="3"/>
      <c r="AV75" s="3"/>
      <c r="AW75" s="3"/>
      <c r="BM75" s="3"/>
      <c r="BN75" s="3"/>
    </row>
    <row r="76" spans="1:66" s="4" customFormat="1" ht="43.15" customHeight="1" x14ac:dyDescent="0.25">
      <c r="A76" s="56" t="s">
        <v>100</v>
      </c>
      <c r="B76" s="70" t="s">
        <v>77</v>
      </c>
      <c r="C76" s="71" t="s">
        <v>101</v>
      </c>
      <c r="D76" s="72">
        <v>316000</v>
      </c>
      <c r="E76" s="111">
        <v>320424</v>
      </c>
      <c r="F76" s="110">
        <f t="shared" si="15"/>
        <v>1.014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91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6"/>
      <c r="AS76" s="6"/>
      <c r="AT76" s="3"/>
      <c r="AU76" s="3"/>
      <c r="AV76" s="3"/>
      <c r="AW76" s="3"/>
      <c r="BM76" s="3"/>
      <c r="BN76" s="3"/>
    </row>
    <row r="77" spans="1:66" s="4" customFormat="1" ht="70.150000000000006" customHeight="1" x14ac:dyDescent="0.25">
      <c r="A77" s="56" t="s">
        <v>102</v>
      </c>
      <c r="B77" s="70" t="s">
        <v>5</v>
      </c>
      <c r="C77" s="71" t="s">
        <v>103</v>
      </c>
      <c r="D77" s="72">
        <f>+D78+D83</f>
        <v>18393113</v>
      </c>
      <c r="E77" s="72">
        <f t="shared" ref="E77" si="16">+E78+E83</f>
        <v>4653762.8499999996</v>
      </c>
      <c r="F77" s="110">
        <f t="shared" si="15"/>
        <v>0.25301659648369473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91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6"/>
      <c r="AS77" s="6"/>
      <c r="AT77" s="3"/>
      <c r="AU77" s="3"/>
      <c r="AV77" s="3"/>
      <c r="AW77" s="3"/>
      <c r="BM77" s="3"/>
      <c r="BN77" s="3"/>
    </row>
    <row r="78" spans="1:66" s="4" customFormat="1" ht="69" customHeight="1" x14ac:dyDescent="0.25">
      <c r="A78" s="56" t="s">
        <v>104</v>
      </c>
      <c r="B78" s="70" t="s">
        <v>5</v>
      </c>
      <c r="C78" s="73" t="s">
        <v>105</v>
      </c>
      <c r="D78" s="72">
        <f t="shared" ref="D78:E79" si="17">+D79</f>
        <v>7500000</v>
      </c>
      <c r="E78" s="72">
        <f t="shared" si="17"/>
        <v>1847754.14</v>
      </c>
      <c r="F78" s="110">
        <f t="shared" si="15"/>
        <v>0.24636721866666667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91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6"/>
      <c r="AS78" s="6"/>
      <c r="AT78" s="3"/>
      <c r="AU78" s="3"/>
      <c r="AV78" s="3"/>
      <c r="AW78" s="3"/>
      <c r="BM78" s="3"/>
      <c r="BN78" s="3"/>
    </row>
    <row r="79" spans="1:66" s="4" customFormat="1" ht="68.45" customHeight="1" x14ac:dyDescent="0.25">
      <c r="A79" s="56" t="s">
        <v>106</v>
      </c>
      <c r="B79" s="70" t="s">
        <v>5</v>
      </c>
      <c r="C79" s="71" t="s">
        <v>107</v>
      </c>
      <c r="D79" s="72">
        <f t="shared" si="17"/>
        <v>7500000</v>
      </c>
      <c r="E79" s="72">
        <f t="shared" si="17"/>
        <v>1847754.14</v>
      </c>
      <c r="F79" s="110">
        <f t="shared" si="15"/>
        <v>0.24636721866666667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91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6"/>
      <c r="AS79" s="6"/>
      <c r="AT79" s="3"/>
      <c r="AU79" s="3"/>
      <c r="AV79" s="3"/>
      <c r="AW79" s="3"/>
      <c r="BM79" s="3"/>
      <c r="BN79" s="3"/>
    </row>
    <row r="80" spans="1:66" s="4" customFormat="1" ht="82.15" customHeight="1" x14ac:dyDescent="0.2">
      <c r="A80" s="77" t="s">
        <v>108</v>
      </c>
      <c r="B80" s="70" t="s">
        <v>5</v>
      </c>
      <c r="C80" s="71" t="s">
        <v>109</v>
      </c>
      <c r="D80" s="72">
        <f t="shared" ref="D80:E80" si="18">+D81+D82</f>
        <v>7500000</v>
      </c>
      <c r="E80" s="72">
        <f t="shared" si="18"/>
        <v>1847754.14</v>
      </c>
      <c r="F80" s="110">
        <f t="shared" si="15"/>
        <v>0.24636721866666667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91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79.900000000000006" customHeight="1" x14ac:dyDescent="0.2">
      <c r="A81" s="77" t="s">
        <v>110</v>
      </c>
      <c r="B81" s="70" t="s">
        <v>79</v>
      </c>
      <c r="C81" s="71" t="s">
        <v>111</v>
      </c>
      <c r="D81" s="72">
        <v>7000000</v>
      </c>
      <c r="E81" s="118">
        <v>1683400.91</v>
      </c>
      <c r="F81" s="110">
        <f t="shared" si="15"/>
        <v>0.24048584428571426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91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84" customHeight="1" x14ac:dyDescent="0.2">
      <c r="A82" s="77" t="s">
        <v>112</v>
      </c>
      <c r="B82" s="70" t="s">
        <v>79</v>
      </c>
      <c r="C82" s="71" t="s">
        <v>113</v>
      </c>
      <c r="D82" s="72">
        <f>350000+150000</f>
        <v>500000</v>
      </c>
      <c r="E82" s="118">
        <v>164353.23000000001</v>
      </c>
      <c r="F82" s="110">
        <f t="shared" si="15"/>
        <v>0.32870646000000003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91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93.6" customHeight="1" x14ac:dyDescent="0.2">
      <c r="A83" s="78" t="s">
        <v>301</v>
      </c>
      <c r="B83" s="16" t="s">
        <v>5</v>
      </c>
      <c r="C83" s="17" t="s">
        <v>300</v>
      </c>
      <c r="D83" s="58">
        <f>+D84</f>
        <v>10893113</v>
      </c>
      <c r="E83" s="58">
        <f t="shared" ref="E83" si="19">+E84</f>
        <v>2806008.71</v>
      </c>
      <c r="F83" s="110">
        <f t="shared" si="15"/>
        <v>0.2575947490859592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91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81.599999999999994" customHeight="1" x14ac:dyDescent="0.2">
      <c r="A84" s="78" t="s">
        <v>302</v>
      </c>
      <c r="B84" s="16" t="s">
        <v>5</v>
      </c>
      <c r="C84" s="17" t="s">
        <v>320</v>
      </c>
      <c r="D84" s="58">
        <f>+D85+D88+D91</f>
        <v>10893113</v>
      </c>
      <c r="E84" s="58">
        <f>+E85+E88+E91</f>
        <v>2806008.71</v>
      </c>
      <c r="F84" s="110">
        <f t="shared" si="15"/>
        <v>0.2575947490859592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91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5.15" customHeight="1" x14ac:dyDescent="0.2">
      <c r="A85" s="78" t="s">
        <v>302</v>
      </c>
      <c r="B85" s="16" t="s">
        <v>5</v>
      </c>
      <c r="C85" s="17" t="s">
        <v>305</v>
      </c>
      <c r="D85" s="58">
        <f>+D86+D87</f>
        <v>5897114</v>
      </c>
      <c r="E85" s="58">
        <f>+E86+E87</f>
        <v>1142284.07</v>
      </c>
      <c r="F85" s="110">
        <f t="shared" si="15"/>
        <v>0.19370221942462026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91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94.9" customHeight="1" x14ac:dyDescent="0.2">
      <c r="A86" s="28" t="s">
        <v>351</v>
      </c>
      <c r="B86" s="16" t="s">
        <v>77</v>
      </c>
      <c r="C86" s="17" t="s">
        <v>303</v>
      </c>
      <c r="D86" s="58">
        <f>6468845-571731</f>
        <v>5897114</v>
      </c>
      <c r="E86" s="118">
        <v>1141196.49</v>
      </c>
      <c r="F86" s="110">
        <f t="shared" si="15"/>
        <v>0.19351779361904822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91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BM86" s="3"/>
      <c r="BN86" s="3"/>
    </row>
    <row r="87" spans="1:66" s="4" customFormat="1" ht="110.45" customHeight="1" x14ac:dyDescent="0.2">
      <c r="A87" s="94" t="s">
        <v>462</v>
      </c>
      <c r="B87" s="16" t="s">
        <v>77</v>
      </c>
      <c r="C87" s="102" t="s">
        <v>464</v>
      </c>
      <c r="D87" s="58">
        <v>0</v>
      </c>
      <c r="E87" s="118">
        <v>1087.58</v>
      </c>
      <c r="F87" s="110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09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BM87" s="3"/>
      <c r="BN87" s="3"/>
    </row>
    <row r="88" spans="1:66" s="4" customFormat="1" ht="81" customHeight="1" x14ac:dyDescent="0.2">
      <c r="A88" s="78" t="s">
        <v>302</v>
      </c>
      <c r="B88" s="16" t="s">
        <v>5</v>
      </c>
      <c r="C88" s="17" t="s">
        <v>306</v>
      </c>
      <c r="D88" s="58">
        <f>+D89+D90</f>
        <v>2292979</v>
      </c>
      <c r="E88" s="58">
        <f>+E89+E90</f>
        <v>469773.67000000004</v>
      </c>
      <c r="F88" s="110">
        <f t="shared" si="15"/>
        <v>0.20487482440964355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91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BM88" s="3"/>
      <c r="BN88" s="3"/>
    </row>
    <row r="89" spans="1:66" s="4" customFormat="1" ht="114.75" x14ac:dyDescent="0.2">
      <c r="A89" s="28" t="s">
        <v>338</v>
      </c>
      <c r="B89" s="16" t="s">
        <v>77</v>
      </c>
      <c r="C89" s="17" t="s">
        <v>304</v>
      </c>
      <c r="D89" s="58">
        <f>2350359-57380</f>
        <v>2292979</v>
      </c>
      <c r="E89" s="118">
        <v>468867.15</v>
      </c>
      <c r="F89" s="110">
        <f t="shared" si="15"/>
        <v>0.2044794784426722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91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BM89" s="3"/>
      <c r="BN89" s="3"/>
    </row>
    <row r="90" spans="1:66" s="4" customFormat="1" ht="114.75" x14ac:dyDescent="0.2">
      <c r="A90" s="94" t="s">
        <v>463</v>
      </c>
      <c r="B90" s="16" t="s">
        <v>77</v>
      </c>
      <c r="C90" s="102" t="s">
        <v>465</v>
      </c>
      <c r="D90" s="58">
        <v>0</v>
      </c>
      <c r="E90" s="118">
        <v>906.52</v>
      </c>
      <c r="F90" s="110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109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BM90" s="3"/>
      <c r="BN90" s="3"/>
    </row>
    <row r="91" spans="1:66" s="4" customFormat="1" ht="87.75" customHeight="1" x14ac:dyDescent="0.2">
      <c r="A91" s="28" t="s">
        <v>302</v>
      </c>
      <c r="B91" s="16" t="s">
        <v>5</v>
      </c>
      <c r="C91" s="69" t="s">
        <v>307</v>
      </c>
      <c r="D91" s="58">
        <f>+D92+D93</f>
        <v>2703020</v>
      </c>
      <c r="E91" s="58">
        <f>+E92+E93</f>
        <v>1193950.97</v>
      </c>
      <c r="F91" s="110">
        <f t="shared" si="15"/>
        <v>0.44171000214574807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91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BM91" s="3"/>
      <c r="BN91" s="3"/>
    </row>
    <row r="92" spans="1:66" s="4" customFormat="1" ht="96.6" customHeight="1" x14ac:dyDescent="0.2">
      <c r="A92" s="28" t="s">
        <v>339</v>
      </c>
      <c r="B92" s="16" t="s">
        <v>77</v>
      </c>
      <c r="C92" s="69" t="s">
        <v>308</v>
      </c>
      <c r="D92" s="58">
        <f>2391394+311626</f>
        <v>2703020</v>
      </c>
      <c r="E92" s="118">
        <v>1189622.55</v>
      </c>
      <c r="F92" s="110">
        <f t="shared" si="15"/>
        <v>0.44010867474158538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91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BM92" s="3"/>
      <c r="BN92" s="3"/>
    </row>
    <row r="93" spans="1:66" s="4" customFormat="1" ht="126.6" customHeight="1" x14ac:dyDescent="0.2">
      <c r="A93" s="94" t="s">
        <v>463</v>
      </c>
      <c r="B93" s="16" t="s">
        <v>77</v>
      </c>
      <c r="C93" s="102" t="s">
        <v>466</v>
      </c>
      <c r="D93" s="58">
        <v>0</v>
      </c>
      <c r="E93" s="118">
        <v>4328.42</v>
      </c>
      <c r="F93" s="110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09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BM93" s="3"/>
      <c r="BN93" s="3"/>
    </row>
    <row r="94" spans="1:66" s="4" customFormat="1" ht="27" customHeight="1" x14ac:dyDescent="0.25">
      <c r="A94" s="57" t="s">
        <v>114</v>
      </c>
      <c r="B94" s="16" t="s">
        <v>5</v>
      </c>
      <c r="C94" s="17" t="s">
        <v>115</v>
      </c>
      <c r="D94" s="58">
        <f>+D95+D100</f>
        <v>34396866.5</v>
      </c>
      <c r="E94" s="58">
        <f>+E95+E100</f>
        <v>3574403.44</v>
      </c>
      <c r="F94" s="110">
        <f t="shared" si="15"/>
        <v>0.10391654251412698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91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4" customFormat="1" ht="15.6" customHeight="1" x14ac:dyDescent="0.25">
      <c r="A95" s="28" t="s">
        <v>116</v>
      </c>
      <c r="B95" s="16" t="s">
        <v>5</v>
      </c>
      <c r="C95" s="17" t="s">
        <v>117</v>
      </c>
      <c r="D95" s="74">
        <f>+D96+D97+D98</f>
        <v>33927360.5</v>
      </c>
      <c r="E95" s="74">
        <f t="shared" ref="E95" si="20">+E96+E97+E98</f>
        <v>3485853.4699999997</v>
      </c>
      <c r="F95" s="110">
        <f t="shared" si="15"/>
        <v>0.10274461138820391</v>
      </c>
      <c r="G95" s="3"/>
      <c r="H95" s="3"/>
      <c r="I95" s="3"/>
      <c r="J95" s="3"/>
      <c r="K95" s="3"/>
      <c r="L95" s="124"/>
      <c r="M95" s="3"/>
      <c r="N95" s="3"/>
      <c r="O95" s="3"/>
      <c r="P95" s="3"/>
      <c r="Q95" s="3"/>
      <c r="R95" s="3"/>
      <c r="S95" s="3"/>
      <c r="T95" s="3"/>
      <c r="U95" s="3"/>
      <c r="V95" s="91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135"/>
      <c r="AN95" s="3"/>
      <c r="AO95" s="3"/>
      <c r="AP95" s="3"/>
      <c r="AQ95" s="3"/>
      <c r="AR95" s="124"/>
      <c r="AS95" s="6"/>
      <c r="AT95" s="3"/>
      <c r="AU95" s="3"/>
      <c r="AV95" s="3"/>
      <c r="AW95" s="3"/>
      <c r="BM95" s="3"/>
      <c r="BN95" s="3"/>
    </row>
    <row r="96" spans="1:66" s="4" customFormat="1" ht="28.15" customHeight="1" x14ac:dyDescent="0.25">
      <c r="A96" s="28" t="s">
        <v>340</v>
      </c>
      <c r="B96" s="16" t="s">
        <v>118</v>
      </c>
      <c r="C96" s="17" t="s">
        <v>119</v>
      </c>
      <c r="D96" s="58">
        <v>2689692.87</v>
      </c>
      <c r="E96" s="111">
        <v>896806.9</v>
      </c>
      <c r="F96" s="110">
        <f t="shared" si="15"/>
        <v>0.33342353322295865</v>
      </c>
      <c r="G96" s="3"/>
      <c r="H96" s="25"/>
      <c r="I96" s="25"/>
      <c r="J96" s="25"/>
      <c r="K96" s="25"/>
      <c r="L96" s="124"/>
      <c r="M96" s="3"/>
      <c r="N96" s="3"/>
      <c r="O96" s="3"/>
      <c r="P96" s="3"/>
      <c r="Q96" s="3"/>
      <c r="R96" s="3"/>
      <c r="S96" s="3"/>
      <c r="T96" s="3"/>
      <c r="U96" s="3"/>
      <c r="V96" s="91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135"/>
      <c r="AN96" s="25"/>
      <c r="AO96" s="25"/>
      <c r="AP96" s="25"/>
      <c r="AQ96" s="25"/>
      <c r="AR96" s="124"/>
      <c r="AS96" s="6"/>
      <c r="AT96" s="3"/>
      <c r="AU96" s="3"/>
      <c r="AV96" s="3"/>
      <c r="AW96" s="3"/>
      <c r="BM96" s="60"/>
      <c r="BN96" s="3"/>
    </row>
    <row r="97" spans="1:66" s="4" customFormat="1" ht="15.6" customHeight="1" x14ac:dyDescent="0.25">
      <c r="A97" s="28" t="s">
        <v>120</v>
      </c>
      <c r="B97" s="16" t="s">
        <v>118</v>
      </c>
      <c r="C97" s="17" t="s">
        <v>121</v>
      </c>
      <c r="D97" s="58">
        <v>27893667.629999999</v>
      </c>
      <c r="E97" s="111">
        <v>2226330.7599999998</v>
      </c>
      <c r="F97" s="110">
        <f t="shared" si="15"/>
        <v>7.9814916759298887E-2</v>
      </c>
      <c r="G97" s="3"/>
      <c r="H97" s="25"/>
      <c r="I97" s="25"/>
      <c r="J97" s="25"/>
      <c r="K97" s="25"/>
      <c r="L97" s="124"/>
      <c r="M97" s="3"/>
      <c r="N97" s="3"/>
      <c r="O97" s="3"/>
      <c r="P97" s="3"/>
      <c r="Q97" s="3"/>
      <c r="R97" s="3"/>
      <c r="S97" s="3"/>
      <c r="T97" s="3"/>
      <c r="U97" s="3"/>
      <c r="V97" s="91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135"/>
      <c r="AN97" s="25"/>
      <c r="AO97" s="25"/>
      <c r="AP97" s="25"/>
      <c r="AQ97" s="25"/>
      <c r="AR97" s="124"/>
      <c r="AS97" s="6"/>
      <c r="AT97" s="3"/>
      <c r="AU97" s="3"/>
      <c r="AV97" s="3"/>
      <c r="AW97" s="3"/>
      <c r="BM97" s="60"/>
      <c r="BN97" s="3"/>
    </row>
    <row r="98" spans="1:66" s="4" customFormat="1" ht="17.45" customHeight="1" x14ac:dyDescent="0.25">
      <c r="A98" s="28" t="s">
        <v>122</v>
      </c>
      <c r="B98" s="16" t="s">
        <v>5</v>
      </c>
      <c r="C98" s="17" t="s">
        <v>123</v>
      </c>
      <c r="D98" s="58">
        <f>+D99</f>
        <v>3344000</v>
      </c>
      <c r="E98" s="58">
        <f t="shared" ref="E98" si="21">+E99</f>
        <v>362715.81</v>
      </c>
      <c r="F98" s="110">
        <f t="shared" si="15"/>
        <v>0.10846764653110048</v>
      </c>
      <c r="G98" s="3"/>
      <c r="H98" s="25"/>
      <c r="I98" s="25"/>
      <c r="J98" s="25"/>
      <c r="K98" s="25"/>
      <c r="L98" s="124"/>
      <c r="M98" s="3"/>
      <c r="N98" s="3"/>
      <c r="O98" s="3"/>
      <c r="P98" s="3"/>
      <c r="Q98" s="3"/>
      <c r="R98" s="3"/>
      <c r="S98" s="3"/>
      <c r="T98" s="3"/>
      <c r="U98" s="3"/>
      <c r="V98" s="91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135"/>
      <c r="AN98" s="25"/>
      <c r="AO98" s="25"/>
      <c r="AP98" s="25"/>
      <c r="AQ98" s="25"/>
      <c r="AR98" s="124"/>
      <c r="AS98" s="6"/>
      <c r="AT98" s="3"/>
      <c r="AU98" s="3"/>
      <c r="AV98" s="3"/>
      <c r="AW98" s="3"/>
      <c r="BM98" s="3"/>
      <c r="BN98" s="3"/>
    </row>
    <row r="99" spans="1:66" s="4" customFormat="1" ht="16.899999999999999" customHeight="1" x14ac:dyDescent="0.25">
      <c r="A99" s="28" t="s">
        <v>124</v>
      </c>
      <c r="B99" s="16" t="s">
        <v>118</v>
      </c>
      <c r="C99" s="17" t="s">
        <v>125</v>
      </c>
      <c r="D99" s="58">
        <v>3344000</v>
      </c>
      <c r="E99" s="111">
        <v>362715.81</v>
      </c>
      <c r="F99" s="110">
        <f t="shared" si="15"/>
        <v>0.10846764653110048</v>
      </c>
      <c r="G99" s="3"/>
      <c r="H99" s="25"/>
      <c r="I99" s="25"/>
      <c r="J99" s="25"/>
      <c r="K99" s="25"/>
      <c r="L99" s="124"/>
      <c r="M99" s="3"/>
      <c r="N99" s="3"/>
      <c r="O99" s="3"/>
      <c r="P99" s="3"/>
      <c r="Q99" s="3"/>
      <c r="R99" s="3"/>
      <c r="S99" s="3"/>
      <c r="T99" s="3"/>
      <c r="U99" s="3"/>
      <c r="V99" s="91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135"/>
      <c r="AN99" s="25"/>
      <c r="AO99" s="25"/>
      <c r="AP99" s="25"/>
      <c r="AQ99" s="25"/>
      <c r="AR99" s="124"/>
      <c r="AS99" s="6"/>
      <c r="AT99" s="3"/>
      <c r="AU99" s="3"/>
      <c r="AV99" s="3"/>
      <c r="AW99" s="3"/>
      <c r="BM99" s="60"/>
      <c r="BN99" s="3"/>
    </row>
    <row r="100" spans="1:66" s="4" customFormat="1" ht="18" customHeight="1" x14ac:dyDescent="0.25">
      <c r="A100" s="28" t="s">
        <v>126</v>
      </c>
      <c r="B100" s="16" t="s">
        <v>5</v>
      </c>
      <c r="C100" s="17" t="s">
        <v>127</v>
      </c>
      <c r="D100" s="58">
        <f t="shared" ref="D100:E101" si="22">+D101</f>
        <v>469506</v>
      </c>
      <c r="E100" s="58">
        <f t="shared" si="22"/>
        <v>88549.97</v>
      </c>
      <c r="F100" s="110">
        <f t="shared" si="15"/>
        <v>0.18860242467614899</v>
      </c>
      <c r="G100" s="3"/>
      <c r="H100" s="25"/>
      <c r="I100" s="25"/>
      <c r="J100" s="25"/>
      <c r="K100" s="25"/>
      <c r="L100" s="124"/>
      <c r="M100" s="3"/>
      <c r="N100" s="3"/>
      <c r="O100" s="3"/>
      <c r="P100" s="3"/>
      <c r="Q100" s="3"/>
      <c r="R100" s="3"/>
      <c r="S100" s="3"/>
      <c r="T100" s="3"/>
      <c r="U100" s="3"/>
      <c r="V100" s="91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25"/>
      <c r="AO100" s="25"/>
      <c r="AP100" s="25"/>
      <c r="AQ100" s="25"/>
      <c r="AR100" s="124"/>
      <c r="AS100" s="6"/>
      <c r="AT100" s="3"/>
      <c r="AU100" s="3"/>
      <c r="AV100" s="3"/>
      <c r="AW100" s="3"/>
      <c r="BM100" s="3"/>
      <c r="BN100" s="3"/>
    </row>
    <row r="101" spans="1:66" s="4" customFormat="1" ht="30" customHeight="1" x14ac:dyDescent="0.25">
      <c r="A101" s="28" t="s">
        <v>128</v>
      </c>
      <c r="B101" s="16" t="s">
        <v>5</v>
      </c>
      <c r="C101" s="17" t="s">
        <v>129</v>
      </c>
      <c r="D101" s="58">
        <f t="shared" si="22"/>
        <v>469506</v>
      </c>
      <c r="E101" s="58">
        <f t="shared" si="22"/>
        <v>88549.97</v>
      </c>
      <c r="F101" s="110">
        <f t="shared" si="15"/>
        <v>0.18860242467614899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91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44.45" customHeight="1" x14ac:dyDescent="0.25">
      <c r="A102" s="28" t="s">
        <v>130</v>
      </c>
      <c r="B102" s="16" t="s">
        <v>77</v>
      </c>
      <c r="C102" s="17" t="s">
        <v>131</v>
      </c>
      <c r="D102" s="58">
        <v>469506</v>
      </c>
      <c r="E102" s="111">
        <v>88549.97</v>
      </c>
      <c r="F102" s="110">
        <f t="shared" si="15"/>
        <v>0.18860242467614899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91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23" customFormat="1" ht="28.15" customHeight="1" x14ac:dyDescent="0.2">
      <c r="A103" s="28" t="s">
        <v>132</v>
      </c>
      <c r="B103" s="16" t="s">
        <v>5</v>
      </c>
      <c r="C103" s="17" t="s">
        <v>133</v>
      </c>
      <c r="D103" s="58">
        <f>+D108+D104</f>
        <v>94458646.810000002</v>
      </c>
      <c r="E103" s="58">
        <f t="shared" ref="E103" si="23">+E108+E104</f>
        <v>86483471.569999993</v>
      </c>
      <c r="F103" s="110">
        <f t="shared" si="15"/>
        <v>0.91556966451105559</v>
      </c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3"/>
      <c r="U103" s="3"/>
      <c r="V103" s="91"/>
      <c r="W103" s="3"/>
      <c r="X103" s="3"/>
      <c r="Y103" s="22"/>
      <c r="Z103" s="22"/>
      <c r="AC103" s="21"/>
      <c r="AD103" s="21"/>
      <c r="AE103" s="21"/>
      <c r="AF103" s="21"/>
      <c r="AG103" s="21"/>
      <c r="AH103" s="21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BM103" s="22"/>
      <c r="BN103" s="22"/>
    </row>
    <row r="104" spans="1:66" s="4" customFormat="1" ht="15.6" customHeight="1" x14ac:dyDescent="0.25">
      <c r="A104" s="28" t="s">
        <v>134</v>
      </c>
      <c r="B104" s="16" t="s">
        <v>5</v>
      </c>
      <c r="C104" s="17" t="s">
        <v>135</v>
      </c>
      <c r="D104" s="58">
        <f t="shared" ref="D104:E105" si="24">+D105</f>
        <v>72296</v>
      </c>
      <c r="E104" s="58">
        <f t="shared" si="24"/>
        <v>8800</v>
      </c>
      <c r="F104" s="110">
        <f t="shared" si="15"/>
        <v>0.12172181033528826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91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17.45" customHeight="1" x14ac:dyDescent="0.25">
      <c r="A105" s="28" t="s">
        <v>136</v>
      </c>
      <c r="B105" s="16" t="s">
        <v>5</v>
      </c>
      <c r="C105" s="17" t="s">
        <v>137</v>
      </c>
      <c r="D105" s="58">
        <f t="shared" si="24"/>
        <v>72296</v>
      </c>
      <c r="E105" s="58">
        <f t="shared" si="24"/>
        <v>8800</v>
      </c>
      <c r="F105" s="110">
        <f t="shared" si="15"/>
        <v>0.12172181033528826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91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6"/>
      <c r="AS105" s="6"/>
      <c r="AT105" s="3"/>
      <c r="AU105" s="3"/>
      <c r="AV105" s="3"/>
      <c r="AW105" s="3"/>
      <c r="BM105" s="3"/>
      <c r="BN105" s="3"/>
    </row>
    <row r="106" spans="1:66" s="4" customFormat="1" ht="31.15" customHeight="1" x14ac:dyDescent="0.25">
      <c r="A106" s="28" t="s">
        <v>138</v>
      </c>
      <c r="B106" s="16" t="s">
        <v>5</v>
      </c>
      <c r="C106" s="69" t="s">
        <v>139</v>
      </c>
      <c r="D106" s="58">
        <f>SUM(D107:D107)</f>
        <v>72296</v>
      </c>
      <c r="E106" s="58">
        <f>SUM(E107:E107)</f>
        <v>8800</v>
      </c>
      <c r="F106" s="110">
        <f t="shared" si="15"/>
        <v>0.12172181033528826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91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6"/>
      <c r="AS106" s="6"/>
      <c r="AT106" s="3"/>
      <c r="AU106" s="3"/>
      <c r="AV106" s="3"/>
      <c r="AW106" s="3"/>
      <c r="BM106" s="3"/>
      <c r="BN106" s="3"/>
    </row>
    <row r="107" spans="1:66" s="4" customFormat="1" ht="57" customHeight="1" x14ac:dyDescent="0.2">
      <c r="A107" s="79" t="s">
        <v>140</v>
      </c>
      <c r="B107" s="16" t="s">
        <v>77</v>
      </c>
      <c r="C107" s="69" t="s">
        <v>141</v>
      </c>
      <c r="D107" s="58">
        <f>74106-1810</f>
        <v>72296</v>
      </c>
      <c r="E107" s="118">
        <v>8800</v>
      </c>
      <c r="F107" s="110">
        <f t="shared" si="15"/>
        <v>0.12172181033528826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91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BM107" s="3"/>
      <c r="BN107" s="3"/>
    </row>
    <row r="108" spans="1:66" s="4" customFormat="1" ht="17.45" customHeight="1" x14ac:dyDescent="0.25">
      <c r="A108" s="28" t="s">
        <v>142</v>
      </c>
      <c r="B108" s="16" t="s">
        <v>5</v>
      </c>
      <c r="C108" s="17" t="s">
        <v>143</v>
      </c>
      <c r="D108" s="58">
        <f t="shared" ref="D108:E109" si="25">+D109</f>
        <v>94386350.810000002</v>
      </c>
      <c r="E108" s="58">
        <f t="shared" si="25"/>
        <v>86474671.569999993</v>
      </c>
      <c r="F108" s="110">
        <f t="shared" si="15"/>
        <v>0.91617771878980425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91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18" customHeight="1" x14ac:dyDescent="0.25">
      <c r="A109" s="28" t="s">
        <v>144</v>
      </c>
      <c r="B109" s="16" t="s">
        <v>5</v>
      </c>
      <c r="C109" s="17" t="s">
        <v>145</v>
      </c>
      <c r="D109" s="58">
        <f>+D110</f>
        <v>94386350.810000002</v>
      </c>
      <c r="E109" s="58">
        <f t="shared" si="25"/>
        <v>86474671.569999993</v>
      </c>
      <c r="F109" s="110">
        <f t="shared" si="15"/>
        <v>0.91617771878980425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91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30.6" customHeight="1" x14ac:dyDescent="0.25">
      <c r="A110" s="28" t="s">
        <v>146</v>
      </c>
      <c r="B110" s="16" t="s">
        <v>5</v>
      </c>
      <c r="C110" s="17" t="s">
        <v>147</v>
      </c>
      <c r="D110" s="58">
        <f>+D118+D119+D117+D111+D114+D113+D112+D115+D116</f>
        <v>94386350.810000002</v>
      </c>
      <c r="E110" s="58">
        <f>+E118+E119+E117+E111+E114+E113+E112+E115+E116</f>
        <v>86474671.569999993</v>
      </c>
      <c r="F110" s="110">
        <f t="shared" si="15"/>
        <v>0.91617771878980425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91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28.9" customHeight="1" x14ac:dyDescent="0.25">
      <c r="A111" s="57" t="s">
        <v>146</v>
      </c>
      <c r="B111" s="16" t="s">
        <v>256</v>
      </c>
      <c r="C111" s="17" t="s">
        <v>147</v>
      </c>
      <c r="D111" s="72">
        <f>637.8+2251.32+3522.13</f>
        <v>6411.25</v>
      </c>
      <c r="E111" s="118">
        <v>6411.25</v>
      </c>
      <c r="F111" s="110">
        <f t="shared" si="15"/>
        <v>1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91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28.9" customHeight="1" x14ac:dyDescent="0.25">
      <c r="A112" s="57" t="s">
        <v>146</v>
      </c>
      <c r="B112" s="16" t="s">
        <v>77</v>
      </c>
      <c r="C112" s="17" t="s">
        <v>147</v>
      </c>
      <c r="D112" s="72">
        <v>0</v>
      </c>
      <c r="E112" s="118">
        <v>5324</v>
      </c>
      <c r="F112" s="110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09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29.45" customHeight="1" x14ac:dyDescent="0.25">
      <c r="A113" s="57" t="s">
        <v>146</v>
      </c>
      <c r="B113" s="16" t="s">
        <v>249</v>
      </c>
      <c r="C113" s="17" t="s">
        <v>147</v>
      </c>
      <c r="D113" s="72">
        <v>77012.479999999996</v>
      </c>
      <c r="E113" s="118">
        <v>77012.479999999996</v>
      </c>
      <c r="F113" s="110">
        <f t="shared" si="15"/>
        <v>1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91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32.450000000000003" customHeight="1" x14ac:dyDescent="0.25">
      <c r="A114" s="57" t="s">
        <v>146</v>
      </c>
      <c r="B114" s="16" t="s">
        <v>271</v>
      </c>
      <c r="C114" s="17" t="s">
        <v>147</v>
      </c>
      <c r="D114" s="72">
        <v>80302.95</v>
      </c>
      <c r="E114" s="118">
        <v>80302.95</v>
      </c>
      <c r="F114" s="110">
        <f t="shared" si="15"/>
        <v>1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91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32.450000000000003" customHeight="1" x14ac:dyDescent="0.25">
      <c r="A115" s="79" t="s">
        <v>371</v>
      </c>
      <c r="B115" s="16" t="s">
        <v>212</v>
      </c>
      <c r="C115" s="17" t="s">
        <v>147</v>
      </c>
      <c r="D115" s="72">
        <v>0</v>
      </c>
      <c r="E115" s="118">
        <v>44.99</v>
      </c>
      <c r="F115" s="110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09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32.450000000000003" customHeight="1" x14ac:dyDescent="0.25">
      <c r="A116" s="79" t="s">
        <v>371</v>
      </c>
      <c r="B116" s="16" t="s">
        <v>467</v>
      </c>
      <c r="C116" s="17" t="s">
        <v>147</v>
      </c>
      <c r="D116" s="72">
        <v>0</v>
      </c>
      <c r="E116" s="118">
        <v>525.97</v>
      </c>
      <c r="F116" s="110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09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30.6" customHeight="1" x14ac:dyDescent="0.2">
      <c r="A117" s="79" t="s">
        <v>371</v>
      </c>
      <c r="B117" s="16" t="s">
        <v>79</v>
      </c>
      <c r="C117" s="17" t="s">
        <v>147</v>
      </c>
      <c r="D117" s="58">
        <v>3390428.13</v>
      </c>
      <c r="E117" s="118">
        <v>3390428.13</v>
      </c>
      <c r="F117" s="110">
        <f t="shared" si="15"/>
        <v>1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91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43.15" customHeight="1" x14ac:dyDescent="0.2">
      <c r="A118" s="57" t="s">
        <v>148</v>
      </c>
      <c r="B118" s="16" t="s">
        <v>79</v>
      </c>
      <c r="C118" s="17" t="s">
        <v>149</v>
      </c>
      <c r="D118" s="58">
        <f>787000+89135196</f>
        <v>89922196</v>
      </c>
      <c r="E118" s="118">
        <v>82827371</v>
      </c>
      <c r="F118" s="110">
        <f t="shared" si="15"/>
        <v>0.9211004032864144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91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34.15" customHeight="1" x14ac:dyDescent="0.2">
      <c r="A119" s="79" t="s">
        <v>150</v>
      </c>
      <c r="B119" s="16" t="s">
        <v>79</v>
      </c>
      <c r="C119" s="17" t="s">
        <v>151</v>
      </c>
      <c r="D119" s="58">
        <v>910000</v>
      </c>
      <c r="E119" s="118">
        <v>87250.8</v>
      </c>
      <c r="F119" s="110">
        <f t="shared" si="15"/>
        <v>9.5880000000000007E-2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91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23" customFormat="1" ht="28.9" customHeight="1" x14ac:dyDescent="0.2">
      <c r="A120" s="28" t="s">
        <v>152</v>
      </c>
      <c r="B120" s="16" t="s">
        <v>5</v>
      </c>
      <c r="C120" s="17" t="s">
        <v>153</v>
      </c>
      <c r="D120" s="58">
        <f>+D121+D124</f>
        <v>11781562</v>
      </c>
      <c r="E120" s="58">
        <f t="shared" ref="E120" si="26">+E121+E124</f>
        <v>7921547.96</v>
      </c>
      <c r="F120" s="110">
        <f t="shared" si="15"/>
        <v>0.67236822757457793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3"/>
      <c r="U120" s="3"/>
      <c r="V120" s="91"/>
      <c r="W120" s="3"/>
      <c r="X120" s="3"/>
      <c r="Y120" s="22"/>
      <c r="Z120" s="22"/>
      <c r="AC120" s="21"/>
      <c r="AD120" s="21"/>
      <c r="AE120" s="21"/>
      <c r="AF120" s="21"/>
      <c r="AG120" s="21"/>
      <c r="AH120" s="21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BM120" s="22"/>
      <c r="BN120" s="22"/>
    </row>
    <row r="121" spans="1:66" s="4" customFormat="1" ht="69" customHeight="1" x14ac:dyDescent="0.25">
      <c r="A121" s="28" t="s">
        <v>154</v>
      </c>
      <c r="B121" s="33" t="s">
        <v>5</v>
      </c>
      <c r="C121" s="33" t="s">
        <v>155</v>
      </c>
      <c r="D121" s="58">
        <f t="shared" ref="D121:E122" si="27">+D122</f>
        <v>4628000</v>
      </c>
      <c r="E121" s="58">
        <f t="shared" si="27"/>
        <v>1157000.04</v>
      </c>
      <c r="F121" s="110">
        <f t="shared" si="15"/>
        <v>0.25000000864304234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91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6"/>
      <c r="AS121" s="6"/>
      <c r="AT121" s="3"/>
      <c r="AU121" s="3"/>
      <c r="AV121" s="3"/>
      <c r="AW121" s="3"/>
      <c r="BM121" s="3"/>
      <c r="BN121" s="3"/>
    </row>
    <row r="122" spans="1:66" s="4" customFormat="1" ht="80.45" customHeight="1" x14ac:dyDescent="0.25">
      <c r="A122" s="28" t="s">
        <v>156</v>
      </c>
      <c r="B122" s="33" t="s">
        <v>5</v>
      </c>
      <c r="C122" s="33" t="s">
        <v>157</v>
      </c>
      <c r="D122" s="58">
        <f t="shared" si="27"/>
        <v>4628000</v>
      </c>
      <c r="E122" s="58">
        <f t="shared" si="27"/>
        <v>1157000.04</v>
      </c>
      <c r="F122" s="110">
        <f t="shared" si="15"/>
        <v>0.25000000864304234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91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"/>
      <c r="AN122" s="3"/>
      <c r="AO122" s="3"/>
      <c r="AP122" s="3"/>
      <c r="AQ122" s="3"/>
      <c r="AR122" s="6"/>
      <c r="AS122" s="6"/>
      <c r="AT122" s="3"/>
      <c r="AU122" s="3"/>
      <c r="AV122" s="3"/>
      <c r="AW122" s="3"/>
      <c r="BM122" s="3"/>
      <c r="BN122" s="3"/>
    </row>
    <row r="123" spans="1:66" s="4" customFormat="1" ht="82.15" customHeight="1" x14ac:dyDescent="0.25">
      <c r="A123" s="28" t="s">
        <v>322</v>
      </c>
      <c r="B123" s="33" t="s">
        <v>77</v>
      </c>
      <c r="C123" s="33" t="s">
        <v>321</v>
      </c>
      <c r="D123" s="58">
        <v>4628000</v>
      </c>
      <c r="E123" s="111">
        <v>1157000.04</v>
      </c>
      <c r="F123" s="110">
        <f t="shared" si="15"/>
        <v>0.25000000864304234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91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6"/>
      <c r="AS123" s="6"/>
      <c r="AT123" s="3"/>
      <c r="AU123" s="3"/>
      <c r="AV123" s="3"/>
      <c r="AW123" s="3"/>
      <c r="BM123" s="3"/>
      <c r="BN123" s="3"/>
    </row>
    <row r="124" spans="1:66" s="4" customFormat="1" ht="28.9" customHeight="1" x14ac:dyDescent="0.25">
      <c r="A124" s="28" t="s">
        <v>158</v>
      </c>
      <c r="B124" s="33" t="s">
        <v>5</v>
      </c>
      <c r="C124" s="75" t="s">
        <v>159</v>
      </c>
      <c r="D124" s="58">
        <f>+D125+D127</f>
        <v>7153562</v>
      </c>
      <c r="E124" s="58">
        <f>+E125+E127</f>
        <v>6764547.9199999999</v>
      </c>
      <c r="F124" s="110">
        <f t="shared" si="15"/>
        <v>0.94561952772618729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91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6"/>
      <c r="AS124" s="6"/>
      <c r="AT124" s="3"/>
      <c r="AU124" s="3"/>
      <c r="AV124" s="3"/>
      <c r="AW124" s="3"/>
      <c r="BM124" s="3"/>
      <c r="BN124" s="3"/>
    </row>
    <row r="125" spans="1:66" s="4" customFormat="1" ht="29.45" customHeight="1" x14ac:dyDescent="0.25">
      <c r="A125" s="28" t="s">
        <v>160</v>
      </c>
      <c r="B125" s="33" t="s">
        <v>5</v>
      </c>
      <c r="C125" s="75" t="s">
        <v>161</v>
      </c>
      <c r="D125" s="58">
        <f>+D126</f>
        <v>4745890</v>
      </c>
      <c r="E125" s="58">
        <f>+E126</f>
        <v>4657327.49</v>
      </c>
      <c r="F125" s="110">
        <f t="shared" si="15"/>
        <v>0.98133911447589395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91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6"/>
      <c r="AS125" s="6"/>
      <c r="AT125" s="3"/>
      <c r="AU125" s="3"/>
      <c r="AV125" s="3"/>
      <c r="AW125" s="3"/>
      <c r="BM125" s="3"/>
      <c r="BN125" s="3"/>
    </row>
    <row r="126" spans="1:66" s="4" customFormat="1" ht="43.15" customHeight="1" x14ac:dyDescent="0.25">
      <c r="A126" s="28" t="s">
        <v>162</v>
      </c>
      <c r="B126" s="33" t="s">
        <v>77</v>
      </c>
      <c r="C126" s="75" t="s">
        <v>163</v>
      </c>
      <c r="D126" s="58">
        <f>3245890+1500000</f>
        <v>4745890</v>
      </c>
      <c r="E126" s="111">
        <v>4657327.49</v>
      </c>
      <c r="F126" s="110">
        <f t="shared" si="15"/>
        <v>0.98133911447589395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4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"/>
      <c r="AN126" s="3"/>
      <c r="AO126" s="3"/>
      <c r="AP126" s="3"/>
      <c r="AQ126" s="3"/>
      <c r="AR126" s="6"/>
      <c r="AS126" s="6"/>
      <c r="AT126" s="3"/>
      <c r="AU126" s="3"/>
      <c r="AV126" s="3"/>
      <c r="AW126" s="3"/>
      <c r="BM126" s="3"/>
      <c r="BN126" s="3"/>
    </row>
    <row r="127" spans="1:66" s="4" customFormat="1" ht="47.45" customHeight="1" x14ac:dyDescent="0.25">
      <c r="A127" s="28" t="s">
        <v>164</v>
      </c>
      <c r="B127" s="33" t="s">
        <v>5</v>
      </c>
      <c r="C127" s="75" t="s">
        <v>165</v>
      </c>
      <c r="D127" s="58">
        <f>+D128</f>
        <v>2407672</v>
      </c>
      <c r="E127" s="58">
        <f>+E128</f>
        <v>2107220.4300000002</v>
      </c>
      <c r="F127" s="110">
        <f t="shared" si="15"/>
        <v>0.87521075545173932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91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"/>
      <c r="AN127" s="3"/>
      <c r="AO127" s="3"/>
      <c r="AP127" s="3"/>
      <c r="AQ127" s="3"/>
      <c r="AR127" s="6"/>
      <c r="AS127" s="6"/>
      <c r="AT127" s="3"/>
      <c r="AU127" s="3"/>
      <c r="AV127" s="3"/>
      <c r="AW127" s="3"/>
      <c r="BM127" s="3"/>
      <c r="BN127" s="3"/>
    </row>
    <row r="128" spans="1:66" s="4" customFormat="1" ht="48.6" customHeight="1" x14ac:dyDescent="0.25">
      <c r="A128" s="28" t="s">
        <v>166</v>
      </c>
      <c r="B128" s="33" t="s">
        <v>77</v>
      </c>
      <c r="C128" s="75" t="s">
        <v>167</v>
      </c>
      <c r="D128" s="58">
        <v>2407672</v>
      </c>
      <c r="E128" s="111">
        <v>2107220.4300000002</v>
      </c>
      <c r="F128" s="110">
        <f t="shared" si="15"/>
        <v>0.87521075545173932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91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"/>
      <c r="AN128" s="3"/>
      <c r="AO128" s="3"/>
      <c r="AP128" s="3"/>
      <c r="AQ128" s="3"/>
      <c r="AR128" s="6"/>
      <c r="AS128" s="6"/>
      <c r="AT128" s="3"/>
      <c r="AU128" s="3"/>
      <c r="AV128" s="3"/>
      <c r="AW128" s="3"/>
      <c r="BM128" s="3"/>
      <c r="BN128" s="3"/>
    </row>
    <row r="129" spans="1:66" s="4" customFormat="1" ht="15" customHeight="1" x14ac:dyDescent="0.25">
      <c r="A129" s="28" t="s">
        <v>168</v>
      </c>
      <c r="B129" s="16" t="s">
        <v>5</v>
      </c>
      <c r="C129" s="17" t="s">
        <v>169</v>
      </c>
      <c r="D129" s="58">
        <f>+D130+D158+D160+D176+D167+D179</f>
        <v>15301737.199999999</v>
      </c>
      <c r="E129" s="58">
        <f>+E130+E158+E160+E176+E167+E179</f>
        <v>3155949.8</v>
      </c>
      <c r="F129" s="110">
        <f t="shared" si="15"/>
        <v>0.20624781086947436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91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"/>
      <c r="AN129" s="3"/>
      <c r="AO129" s="3"/>
      <c r="AP129" s="35"/>
      <c r="AQ129" s="3"/>
      <c r="AR129" s="6"/>
      <c r="AS129" s="6"/>
      <c r="AT129" s="3"/>
      <c r="AU129" s="3"/>
      <c r="AV129" s="3"/>
      <c r="AW129" s="3"/>
      <c r="BM129" s="3"/>
      <c r="BN129" s="3"/>
    </row>
    <row r="130" spans="1:66" s="4" customFormat="1" ht="31.9" customHeight="1" x14ac:dyDescent="0.25">
      <c r="A130" s="28" t="s">
        <v>170</v>
      </c>
      <c r="B130" s="16" t="s">
        <v>5</v>
      </c>
      <c r="C130" s="17" t="s">
        <v>171</v>
      </c>
      <c r="D130" s="58">
        <f>+D131+D134+D137+D148+D152+D155+D140+D146+D150+D142+D144</f>
        <v>4476820</v>
      </c>
      <c r="E130" s="58">
        <f>+E131+E134+E137+E148+E152+E155+E140+E146+E150+E142+E144</f>
        <v>447442.39999999997</v>
      </c>
      <c r="F130" s="110">
        <f t="shared" si="15"/>
        <v>9.9946479867405874E-2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91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"/>
      <c r="AN130" s="3"/>
      <c r="AO130" s="3"/>
      <c r="AP130" s="3"/>
      <c r="AQ130" s="3"/>
      <c r="AR130" s="6"/>
      <c r="AS130" s="6"/>
      <c r="AT130" s="3"/>
      <c r="AU130" s="3"/>
      <c r="AV130" s="3"/>
      <c r="AW130" s="3"/>
      <c r="BM130" s="3"/>
      <c r="BN130" s="3"/>
    </row>
    <row r="131" spans="1:66" s="4" customFormat="1" ht="44.45" customHeight="1" x14ac:dyDescent="0.2">
      <c r="A131" s="28" t="s">
        <v>172</v>
      </c>
      <c r="B131" s="16" t="s">
        <v>5</v>
      </c>
      <c r="C131" s="69" t="s">
        <v>173</v>
      </c>
      <c r="D131" s="58">
        <f>+D132+D133</f>
        <v>32490</v>
      </c>
      <c r="E131" s="58">
        <f t="shared" ref="E131" si="28">+E132+E133</f>
        <v>21277.63</v>
      </c>
      <c r="F131" s="110">
        <f t="shared" si="15"/>
        <v>0.6548978147122192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91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8.45" customHeight="1" x14ac:dyDescent="0.2">
      <c r="A132" s="28" t="s">
        <v>174</v>
      </c>
      <c r="B132" s="16" t="s">
        <v>175</v>
      </c>
      <c r="C132" s="69" t="s">
        <v>176</v>
      </c>
      <c r="D132" s="58">
        <v>19730</v>
      </c>
      <c r="E132" s="118">
        <v>7277.63</v>
      </c>
      <c r="F132" s="110">
        <f t="shared" si="15"/>
        <v>0.36886112519006592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91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6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72.599999999999994" customHeight="1" x14ac:dyDescent="0.2">
      <c r="A133" s="28" t="s">
        <v>174</v>
      </c>
      <c r="B133" s="16" t="s">
        <v>177</v>
      </c>
      <c r="C133" s="69" t="s">
        <v>176</v>
      </c>
      <c r="D133" s="58">
        <v>12760</v>
      </c>
      <c r="E133" s="118">
        <v>14000</v>
      </c>
      <c r="F133" s="110">
        <f t="shared" si="15"/>
        <v>1.0971786833855799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91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6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69" customHeight="1" x14ac:dyDescent="0.2">
      <c r="A134" s="28" t="s">
        <v>178</v>
      </c>
      <c r="B134" s="16" t="s">
        <v>5</v>
      </c>
      <c r="C134" s="69" t="s">
        <v>179</v>
      </c>
      <c r="D134" s="58">
        <f>+D135+D136</f>
        <v>505000</v>
      </c>
      <c r="E134" s="58">
        <f t="shared" ref="E134" si="29">+E135+E136</f>
        <v>97450.01</v>
      </c>
      <c r="F134" s="110">
        <f t="shared" si="15"/>
        <v>0.19297031683168317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91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80.45" customHeight="1" x14ac:dyDescent="0.2">
      <c r="A135" s="28" t="s">
        <v>180</v>
      </c>
      <c r="B135" s="16" t="s">
        <v>175</v>
      </c>
      <c r="C135" s="69" t="s">
        <v>181</v>
      </c>
      <c r="D135" s="58">
        <v>16380</v>
      </c>
      <c r="E135" s="118">
        <v>2475.06</v>
      </c>
      <c r="F135" s="110">
        <f t="shared" si="15"/>
        <v>0.15110256410256409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91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6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83.45" customHeight="1" x14ac:dyDescent="0.2">
      <c r="A136" s="28" t="s">
        <v>180</v>
      </c>
      <c r="B136" s="16" t="s">
        <v>177</v>
      </c>
      <c r="C136" s="69" t="s">
        <v>181</v>
      </c>
      <c r="D136" s="58">
        <v>488620</v>
      </c>
      <c r="E136" s="58">
        <v>94974.95</v>
      </c>
      <c r="F136" s="110">
        <f t="shared" si="15"/>
        <v>0.19437384879865743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91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6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5.15" customHeight="1" x14ac:dyDescent="0.2">
      <c r="A137" s="28" t="s">
        <v>182</v>
      </c>
      <c r="B137" s="16" t="s">
        <v>5</v>
      </c>
      <c r="C137" s="69" t="s">
        <v>183</v>
      </c>
      <c r="D137" s="58">
        <f>+D139+D138</f>
        <v>22040</v>
      </c>
      <c r="E137" s="58">
        <f t="shared" ref="E137" si="30">+E139+E138</f>
        <v>2924.61</v>
      </c>
      <c r="F137" s="110">
        <f t="shared" ref="F137:F200" si="31">+E137/D137</f>
        <v>0.13269555353901996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91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70.900000000000006" customHeight="1" x14ac:dyDescent="0.2">
      <c r="A138" s="28" t="s">
        <v>184</v>
      </c>
      <c r="B138" s="16" t="s">
        <v>175</v>
      </c>
      <c r="C138" s="69" t="s">
        <v>185</v>
      </c>
      <c r="D138" s="58">
        <v>2350</v>
      </c>
      <c r="E138" s="118">
        <v>150</v>
      </c>
      <c r="F138" s="110">
        <f t="shared" si="31"/>
        <v>6.3829787234042548E-2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91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69" customHeight="1" x14ac:dyDescent="0.2">
      <c r="A139" s="28" t="s">
        <v>184</v>
      </c>
      <c r="B139" s="16" t="s">
        <v>177</v>
      </c>
      <c r="C139" s="69" t="s">
        <v>185</v>
      </c>
      <c r="D139" s="58">
        <v>19690</v>
      </c>
      <c r="E139" s="58">
        <v>2774.61</v>
      </c>
      <c r="F139" s="110">
        <f t="shared" si="31"/>
        <v>0.14091467750126968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91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6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8.15" customHeight="1" x14ac:dyDescent="0.2">
      <c r="A140" s="28" t="s">
        <v>186</v>
      </c>
      <c r="B140" s="16" t="s">
        <v>5</v>
      </c>
      <c r="C140" s="69" t="s">
        <v>187</v>
      </c>
      <c r="D140" s="58">
        <f t="shared" ref="D140:E140" si="32">+D141</f>
        <v>273350</v>
      </c>
      <c r="E140" s="58">
        <f t="shared" si="32"/>
        <v>19232.03</v>
      </c>
      <c r="F140" s="110">
        <f t="shared" si="31"/>
        <v>7.0356795317358695E-2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91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71.45" customHeight="1" x14ac:dyDescent="0.2">
      <c r="A141" s="28" t="s">
        <v>188</v>
      </c>
      <c r="B141" s="16" t="s">
        <v>177</v>
      </c>
      <c r="C141" s="69" t="s">
        <v>189</v>
      </c>
      <c r="D141" s="58">
        <v>273350</v>
      </c>
      <c r="E141" s="58">
        <v>19232.03</v>
      </c>
      <c r="F141" s="110">
        <f t="shared" si="31"/>
        <v>7.0356795317358695E-2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91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6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58.9" customHeight="1" x14ac:dyDescent="0.2">
      <c r="A142" s="117" t="s">
        <v>469</v>
      </c>
      <c r="B142" s="16" t="s">
        <v>475</v>
      </c>
      <c r="C142" s="85" t="s">
        <v>476</v>
      </c>
      <c r="D142" s="58">
        <f>+D143</f>
        <v>0</v>
      </c>
      <c r="E142" s="58">
        <f>+E143</f>
        <v>150</v>
      </c>
      <c r="F142" s="110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09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6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71.45" customHeight="1" x14ac:dyDescent="0.2">
      <c r="A143" s="117" t="s">
        <v>470</v>
      </c>
      <c r="B143" s="16" t="s">
        <v>177</v>
      </c>
      <c r="C143" s="102" t="s">
        <v>496</v>
      </c>
      <c r="D143" s="58">
        <v>0</v>
      </c>
      <c r="E143" s="111">
        <v>150</v>
      </c>
      <c r="F143" s="110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09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6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47.45" customHeight="1" x14ac:dyDescent="0.2">
      <c r="A144" s="117" t="s">
        <v>471</v>
      </c>
      <c r="B144" s="16" t="s">
        <v>5</v>
      </c>
      <c r="C144" s="85" t="s">
        <v>474</v>
      </c>
      <c r="D144" s="58">
        <f>+D145</f>
        <v>0</v>
      </c>
      <c r="E144" s="58">
        <f>+E145</f>
        <v>10500</v>
      </c>
      <c r="F144" s="110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09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6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1.45" customHeight="1" x14ac:dyDescent="0.2">
      <c r="A145" s="117" t="s">
        <v>472</v>
      </c>
      <c r="B145" s="16" t="s">
        <v>177</v>
      </c>
      <c r="C145" s="102" t="s">
        <v>473</v>
      </c>
      <c r="D145" s="58">
        <v>0</v>
      </c>
      <c r="E145" s="111">
        <v>10500</v>
      </c>
      <c r="F145" s="110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09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6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69" customHeight="1" x14ac:dyDescent="0.2">
      <c r="A146" s="28" t="s">
        <v>190</v>
      </c>
      <c r="B146" s="16" t="s">
        <v>5</v>
      </c>
      <c r="C146" s="69" t="s">
        <v>191</v>
      </c>
      <c r="D146" s="58">
        <f t="shared" ref="D146:E146" si="33">+D147</f>
        <v>821150</v>
      </c>
      <c r="E146" s="58">
        <f t="shared" si="33"/>
        <v>87108.49</v>
      </c>
      <c r="F146" s="110">
        <f t="shared" si="31"/>
        <v>0.10608109358826037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91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82.9" customHeight="1" x14ac:dyDescent="0.2">
      <c r="A147" s="28" t="s">
        <v>192</v>
      </c>
      <c r="B147" s="16" t="s">
        <v>177</v>
      </c>
      <c r="C147" s="69" t="s">
        <v>193</v>
      </c>
      <c r="D147" s="58">
        <v>821150</v>
      </c>
      <c r="E147" s="58">
        <v>87108.49</v>
      </c>
      <c r="F147" s="110">
        <f t="shared" si="31"/>
        <v>0.10608109358826037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91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6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57.6" customHeight="1" x14ac:dyDescent="0.2">
      <c r="A148" s="28" t="s">
        <v>194</v>
      </c>
      <c r="B148" s="16" t="s">
        <v>5</v>
      </c>
      <c r="C148" s="69" t="s">
        <v>195</v>
      </c>
      <c r="D148" s="58">
        <f t="shared" ref="D148:E148" si="34">+D149</f>
        <v>45650</v>
      </c>
      <c r="E148" s="58">
        <f t="shared" si="34"/>
        <v>6274.84</v>
      </c>
      <c r="F148" s="110">
        <f t="shared" si="31"/>
        <v>0.13745542168674699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91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96" customHeight="1" x14ac:dyDescent="0.2">
      <c r="A149" s="28" t="s">
        <v>196</v>
      </c>
      <c r="B149" s="16" t="s">
        <v>177</v>
      </c>
      <c r="C149" s="69" t="s">
        <v>197</v>
      </c>
      <c r="D149" s="58">
        <v>45650</v>
      </c>
      <c r="E149" s="58">
        <v>6274.84</v>
      </c>
      <c r="F149" s="110">
        <f t="shared" si="31"/>
        <v>0.13745542168674699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91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6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58.9" customHeight="1" x14ac:dyDescent="0.2">
      <c r="A150" s="28" t="s">
        <v>198</v>
      </c>
      <c r="B150" s="16" t="s">
        <v>5</v>
      </c>
      <c r="C150" s="69" t="s">
        <v>199</v>
      </c>
      <c r="D150" s="58">
        <f t="shared" ref="D150:E150" si="35">+D151</f>
        <v>10890</v>
      </c>
      <c r="E150" s="58">
        <f t="shared" si="35"/>
        <v>639.07000000000005</v>
      </c>
      <c r="F150" s="110">
        <f t="shared" si="31"/>
        <v>5.8684113865932051E-2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91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68.45" customHeight="1" x14ac:dyDescent="0.2">
      <c r="A151" s="28" t="s">
        <v>200</v>
      </c>
      <c r="B151" s="16" t="s">
        <v>177</v>
      </c>
      <c r="C151" s="69" t="s">
        <v>201</v>
      </c>
      <c r="D151" s="58">
        <v>10890</v>
      </c>
      <c r="E151" s="118">
        <v>639.07000000000005</v>
      </c>
      <c r="F151" s="110">
        <f t="shared" si="31"/>
        <v>5.8684113865932051E-2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91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6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43.15" customHeight="1" x14ac:dyDescent="0.2">
      <c r="A152" s="28" t="s">
        <v>202</v>
      </c>
      <c r="B152" s="16" t="s">
        <v>5</v>
      </c>
      <c r="C152" s="69" t="s">
        <v>203</v>
      </c>
      <c r="D152" s="58">
        <f t="shared" ref="D152:E152" si="36">+D153+D154</f>
        <v>945580</v>
      </c>
      <c r="E152" s="58">
        <f t="shared" si="36"/>
        <v>-20512.45</v>
      </c>
      <c r="F152" s="110">
        <f t="shared" si="31"/>
        <v>-2.1692982085069482E-2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91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72" customHeight="1" x14ac:dyDescent="0.2">
      <c r="A153" s="28" t="s">
        <v>204</v>
      </c>
      <c r="B153" s="16" t="s">
        <v>175</v>
      </c>
      <c r="C153" s="69" t="s">
        <v>205</v>
      </c>
      <c r="D153" s="58">
        <v>24550</v>
      </c>
      <c r="E153" s="118">
        <v>523.87</v>
      </c>
      <c r="F153" s="110">
        <f t="shared" si="31"/>
        <v>2.1338900203665988E-2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91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6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9.599999999999994" customHeight="1" x14ac:dyDescent="0.2">
      <c r="A154" s="28" t="s">
        <v>204</v>
      </c>
      <c r="B154" s="16" t="s">
        <v>177</v>
      </c>
      <c r="C154" s="69" t="s">
        <v>205</v>
      </c>
      <c r="D154" s="58">
        <v>921030</v>
      </c>
      <c r="E154" s="58">
        <v>-21036.32</v>
      </c>
      <c r="F154" s="110">
        <f t="shared" si="31"/>
        <v>-2.2839994354146988E-2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91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6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55.15" customHeight="1" x14ac:dyDescent="0.2">
      <c r="A155" s="28" t="s">
        <v>206</v>
      </c>
      <c r="B155" s="16" t="s">
        <v>5</v>
      </c>
      <c r="C155" s="69" t="s">
        <v>207</v>
      </c>
      <c r="D155" s="58">
        <f t="shared" ref="D155:E155" si="37">+D156+D157</f>
        <v>1820670</v>
      </c>
      <c r="E155" s="58">
        <f t="shared" si="37"/>
        <v>222398.16999999998</v>
      </c>
      <c r="F155" s="110">
        <f t="shared" si="31"/>
        <v>0.1221518287223934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91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84" customHeight="1" x14ac:dyDescent="0.2">
      <c r="A156" s="28" t="s">
        <v>208</v>
      </c>
      <c r="B156" s="16" t="s">
        <v>175</v>
      </c>
      <c r="C156" s="69" t="s">
        <v>209</v>
      </c>
      <c r="D156" s="58">
        <v>47140</v>
      </c>
      <c r="E156" s="58">
        <v>3586.24</v>
      </c>
      <c r="F156" s="110">
        <f t="shared" si="31"/>
        <v>7.6076368264743316E-2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91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6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81.599999999999994" customHeight="1" x14ac:dyDescent="0.2">
      <c r="A157" s="28" t="s">
        <v>208</v>
      </c>
      <c r="B157" s="16" t="s">
        <v>177</v>
      </c>
      <c r="C157" s="69" t="s">
        <v>209</v>
      </c>
      <c r="D157" s="58">
        <v>1773530</v>
      </c>
      <c r="E157" s="58">
        <v>218811.93</v>
      </c>
      <c r="F157" s="110">
        <f t="shared" si="31"/>
        <v>0.12337650335771033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91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6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ht="28.9" customHeight="1" x14ac:dyDescent="0.2">
      <c r="A158" s="28" t="s">
        <v>210</v>
      </c>
      <c r="B158" s="37" t="s">
        <v>5</v>
      </c>
      <c r="C158" s="38" t="s">
        <v>211</v>
      </c>
      <c r="D158" s="58">
        <f>+D159</f>
        <v>165000</v>
      </c>
      <c r="E158" s="58">
        <f>+E159</f>
        <v>24767.66</v>
      </c>
      <c r="F158" s="110">
        <f t="shared" si="31"/>
        <v>0.1501070303030303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91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BM158" s="3"/>
      <c r="BN158" s="3"/>
    </row>
    <row r="159" spans="1:66" s="4" customFormat="1" ht="57" customHeight="1" x14ac:dyDescent="0.2">
      <c r="A159" s="28" t="s">
        <v>328</v>
      </c>
      <c r="B159" s="37" t="s">
        <v>212</v>
      </c>
      <c r="C159" s="38" t="s">
        <v>213</v>
      </c>
      <c r="D159" s="58">
        <f>160000+5000</f>
        <v>165000</v>
      </c>
      <c r="E159" s="118">
        <v>24767.66</v>
      </c>
      <c r="F159" s="110">
        <f t="shared" si="31"/>
        <v>0.1501070303030303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91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89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BM159" s="3"/>
      <c r="BN159" s="3"/>
    </row>
    <row r="160" spans="1:66" s="4" customFormat="1" ht="99" customHeight="1" x14ac:dyDescent="0.2">
      <c r="A160" s="28" t="s">
        <v>214</v>
      </c>
      <c r="B160" s="16" t="s">
        <v>5</v>
      </c>
      <c r="C160" s="29" t="s">
        <v>329</v>
      </c>
      <c r="D160" s="58">
        <f>+D164+D161</f>
        <v>8011735.2000000002</v>
      </c>
      <c r="E160" s="58">
        <f t="shared" ref="E160" si="38">+E164+E161</f>
        <v>1475978.81</v>
      </c>
      <c r="F160" s="110">
        <f t="shared" si="31"/>
        <v>0.18422710850453469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91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BM160" s="3"/>
      <c r="BN160" s="3"/>
    </row>
    <row r="161" spans="1:66" s="4" customFormat="1" ht="55.9" customHeight="1" x14ac:dyDescent="0.2">
      <c r="A161" s="28" t="s">
        <v>365</v>
      </c>
      <c r="B161" s="16" t="s">
        <v>5</v>
      </c>
      <c r="C161" s="29" t="s">
        <v>366</v>
      </c>
      <c r="D161" s="58">
        <f>+D163+D162</f>
        <v>151.19999999999999</v>
      </c>
      <c r="E161" s="58">
        <f>+E163+E162</f>
        <v>9583.34</v>
      </c>
      <c r="F161" s="110">
        <f t="shared" si="31"/>
        <v>63.381878306878313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91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BM161" s="3"/>
      <c r="BN161" s="3"/>
    </row>
    <row r="162" spans="1:66" s="4" customFormat="1" ht="70.900000000000006" customHeight="1" x14ac:dyDescent="0.2">
      <c r="A162" s="94" t="s">
        <v>367</v>
      </c>
      <c r="B162" s="16" t="s">
        <v>77</v>
      </c>
      <c r="C162" s="69" t="s">
        <v>368</v>
      </c>
      <c r="D162" s="58">
        <v>0</v>
      </c>
      <c r="E162" s="118">
        <v>9432.14</v>
      </c>
      <c r="F162" s="110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09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BM162" s="3"/>
      <c r="BN162" s="3"/>
    </row>
    <row r="163" spans="1:66" s="4" customFormat="1" ht="69.599999999999994" customHeight="1" x14ac:dyDescent="0.2">
      <c r="A163" s="94" t="s">
        <v>367</v>
      </c>
      <c r="B163" s="16" t="s">
        <v>79</v>
      </c>
      <c r="C163" s="69" t="s">
        <v>368</v>
      </c>
      <c r="D163" s="58">
        <v>151.19999999999999</v>
      </c>
      <c r="E163" s="118">
        <v>151.19999999999999</v>
      </c>
      <c r="F163" s="110">
        <f t="shared" si="31"/>
        <v>1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91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BM163" s="3"/>
      <c r="BN163" s="3"/>
    </row>
    <row r="164" spans="1:66" s="4" customFormat="1" ht="69" customHeight="1" x14ac:dyDescent="0.2">
      <c r="A164" s="28" t="s">
        <v>215</v>
      </c>
      <c r="B164" s="16" t="s">
        <v>5</v>
      </c>
      <c r="C164" s="17" t="s">
        <v>216</v>
      </c>
      <c r="D164" s="58">
        <f>+D165+D166</f>
        <v>8011584</v>
      </c>
      <c r="E164" s="58">
        <f t="shared" ref="E164" si="39">+E165+E166</f>
        <v>1466395.47</v>
      </c>
      <c r="F164" s="110">
        <f t="shared" si="31"/>
        <v>0.18303439993888848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91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BM164" s="3"/>
      <c r="BN164" s="3"/>
    </row>
    <row r="165" spans="1:66" s="4" customFormat="1" ht="85.15" customHeight="1" x14ac:dyDescent="0.2">
      <c r="A165" s="28" t="s">
        <v>341</v>
      </c>
      <c r="B165" s="16" t="s">
        <v>77</v>
      </c>
      <c r="C165" s="17" t="s">
        <v>217</v>
      </c>
      <c r="D165" s="58">
        <f>384085-22908</f>
        <v>361177</v>
      </c>
      <c r="E165" s="118">
        <v>100567.91</v>
      </c>
      <c r="F165" s="110">
        <f t="shared" si="31"/>
        <v>0.27844494527613883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91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9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BM165" s="3"/>
      <c r="BN165" s="3"/>
    </row>
    <row r="166" spans="1:66" s="4" customFormat="1" ht="81" customHeight="1" x14ac:dyDescent="0.2">
      <c r="A166" s="28" t="s">
        <v>342</v>
      </c>
      <c r="B166" s="16" t="s">
        <v>77</v>
      </c>
      <c r="C166" s="17" t="s">
        <v>218</v>
      </c>
      <c r="D166" s="58">
        <f>5057659+2592748</f>
        <v>7650407</v>
      </c>
      <c r="E166" s="118">
        <v>1365827.56</v>
      </c>
      <c r="F166" s="110">
        <f t="shared" si="31"/>
        <v>0.1785300520612825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91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9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BM166" s="3"/>
      <c r="BN166" s="3"/>
    </row>
    <row r="167" spans="1:66" s="4" customFormat="1" ht="18.600000000000001" customHeight="1" x14ac:dyDescent="0.2">
      <c r="A167" s="80" t="s">
        <v>219</v>
      </c>
      <c r="B167" s="16" t="s">
        <v>5</v>
      </c>
      <c r="C167" s="40" t="s">
        <v>220</v>
      </c>
      <c r="D167" s="58">
        <f>+D170+D168</f>
        <v>2000</v>
      </c>
      <c r="E167" s="58">
        <f>+E170+E168</f>
        <v>8388.7900000000009</v>
      </c>
      <c r="F167" s="110">
        <f t="shared" si="31"/>
        <v>4.1943950000000001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91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BM167" s="3"/>
      <c r="BN167" s="3"/>
    </row>
    <row r="168" spans="1:66" s="4" customFormat="1" ht="85.15" customHeight="1" x14ac:dyDescent="0.2">
      <c r="A168" s="117" t="s">
        <v>477</v>
      </c>
      <c r="B168" s="16" t="s">
        <v>5</v>
      </c>
      <c r="C168" s="85" t="s">
        <v>480</v>
      </c>
      <c r="D168" s="58">
        <f>+D169</f>
        <v>0</v>
      </c>
      <c r="E168" s="58">
        <f>+E169</f>
        <v>13751.02</v>
      </c>
      <c r="F168" s="110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09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BM168" s="3"/>
      <c r="BN168" s="3"/>
    </row>
    <row r="169" spans="1:66" s="4" customFormat="1" ht="61.9" customHeight="1" x14ac:dyDescent="0.2">
      <c r="A169" s="117" t="s">
        <v>478</v>
      </c>
      <c r="B169" s="16" t="s">
        <v>212</v>
      </c>
      <c r="C169" s="85" t="s">
        <v>479</v>
      </c>
      <c r="D169" s="58">
        <v>0</v>
      </c>
      <c r="E169" s="111">
        <v>13751.02</v>
      </c>
      <c r="F169" s="110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09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BM169" s="3"/>
      <c r="BN169" s="3"/>
    </row>
    <row r="170" spans="1:66" s="4" customFormat="1" ht="70.150000000000006" customHeight="1" x14ac:dyDescent="0.2">
      <c r="A170" s="28" t="s">
        <v>221</v>
      </c>
      <c r="B170" s="16" t="s">
        <v>5</v>
      </c>
      <c r="C170" s="17" t="s">
        <v>222</v>
      </c>
      <c r="D170" s="58">
        <f>+D171+D175</f>
        <v>2000</v>
      </c>
      <c r="E170" s="58">
        <f>+E171+E175</f>
        <v>-5362.23</v>
      </c>
      <c r="F170" s="110">
        <f t="shared" si="31"/>
        <v>-2.6811149999999997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91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BM170" s="3"/>
      <c r="BN170" s="3"/>
    </row>
    <row r="171" spans="1:66" s="4" customFormat="1" ht="55.9" customHeight="1" x14ac:dyDescent="0.2">
      <c r="A171" s="28" t="s">
        <v>299</v>
      </c>
      <c r="B171" s="16" t="s">
        <v>5</v>
      </c>
      <c r="C171" s="17" t="s">
        <v>224</v>
      </c>
      <c r="D171" s="58">
        <f>+D172+D173+D174</f>
        <v>2000</v>
      </c>
      <c r="E171" s="58">
        <f>+E172+E173+E174</f>
        <v>-9287.23</v>
      </c>
      <c r="F171" s="110">
        <f t="shared" si="31"/>
        <v>-4.6436149999999996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91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BM171" s="3"/>
      <c r="BN171" s="3"/>
    </row>
    <row r="172" spans="1:66" s="4" customFormat="1" ht="109.15" customHeight="1" x14ac:dyDescent="0.2">
      <c r="A172" s="28" t="s">
        <v>223</v>
      </c>
      <c r="B172" s="16" t="s">
        <v>343</v>
      </c>
      <c r="C172" s="17" t="s">
        <v>225</v>
      </c>
      <c r="D172" s="58">
        <v>2000</v>
      </c>
      <c r="E172" s="58">
        <v>0</v>
      </c>
      <c r="F172" s="110">
        <f t="shared" si="31"/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91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6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BM172" s="3"/>
      <c r="BN172" s="3"/>
    </row>
    <row r="173" spans="1:66" s="4" customFormat="1" ht="109.15" customHeight="1" x14ac:dyDescent="0.2">
      <c r="A173" s="28" t="s">
        <v>223</v>
      </c>
      <c r="B173" s="16" t="s">
        <v>468</v>
      </c>
      <c r="C173" s="17" t="s">
        <v>225</v>
      </c>
      <c r="D173" s="58">
        <v>0</v>
      </c>
      <c r="E173" s="118">
        <v>-287.23</v>
      </c>
      <c r="F173" s="110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09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6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BM173" s="3"/>
      <c r="BN173" s="3"/>
    </row>
    <row r="174" spans="1:66" s="4" customFormat="1" ht="109.15" customHeight="1" x14ac:dyDescent="0.2">
      <c r="A174" s="28" t="s">
        <v>223</v>
      </c>
      <c r="B174" s="16" t="s">
        <v>212</v>
      </c>
      <c r="C174" s="17" t="s">
        <v>225</v>
      </c>
      <c r="D174" s="58">
        <v>0</v>
      </c>
      <c r="E174" s="118">
        <v>-9000</v>
      </c>
      <c r="F174" s="110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09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6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BM174" s="3"/>
      <c r="BN174" s="3"/>
    </row>
    <row r="175" spans="1:66" s="4" customFormat="1" ht="66" customHeight="1" x14ac:dyDescent="0.2">
      <c r="A175" s="117" t="s">
        <v>481</v>
      </c>
      <c r="B175" s="16" t="s">
        <v>12</v>
      </c>
      <c r="C175" s="85" t="s">
        <v>486</v>
      </c>
      <c r="D175" s="58">
        <v>0</v>
      </c>
      <c r="E175" s="118">
        <v>3925</v>
      </c>
      <c r="F175" s="110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09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6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BM175" s="3"/>
      <c r="BN175" s="3"/>
    </row>
    <row r="176" spans="1:66" s="4" customFormat="1" ht="15.6" customHeight="1" x14ac:dyDescent="0.2">
      <c r="A176" s="28" t="s">
        <v>226</v>
      </c>
      <c r="B176" s="37" t="s">
        <v>5</v>
      </c>
      <c r="C176" s="38" t="s">
        <v>227</v>
      </c>
      <c r="D176" s="58">
        <f t="shared" ref="D176:E177" si="40">+D177</f>
        <v>646182</v>
      </c>
      <c r="E176" s="58">
        <f t="shared" si="40"/>
        <v>0</v>
      </c>
      <c r="F176" s="110">
        <f t="shared" si="31"/>
        <v>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91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BM176" s="3"/>
      <c r="BN176" s="3"/>
    </row>
    <row r="177" spans="1:66" s="4" customFormat="1" ht="27.6" customHeight="1" x14ac:dyDescent="0.2">
      <c r="A177" s="28" t="s">
        <v>228</v>
      </c>
      <c r="B177" s="37" t="s">
        <v>5</v>
      </c>
      <c r="C177" s="38" t="s">
        <v>229</v>
      </c>
      <c r="D177" s="58">
        <f t="shared" si="40"/>
        <v>646182</v>
      </c>
      <c r="E177" s="58">
        <f t="shared" si="40"/>
        <v>0</v>
      </c>
      <c r="F177" s="110">
        <f t="shared" si="31"/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91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BM177" s="3"/>
      <c r="BN177" s="3"/>
    </row>
    <row r="178" spans="1:66" s="4" customFormat="1" ht="54" customHeight="1" x14ac:dyDescent="0.2">
      <c r="A178" s="28" t="s">
        <v>230</v>
      </c>
      <c r="B178" s="37" t="s">
        <v>79</v>
      </c>
      <c r="C178" s="38" t="s">
        <v>231</v>
      </c>
      <c r="D178" s="58">
        <f>501000+145182</f>
        <v>646182</v>
      </c>
      <c r="E178" s="58">
        <v>0</v>
      </c>
      <c r="F178" s="110">
        <f t="shared" si="31"/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91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BM178" s="3"/>
      <c r="BN178" s="3"/>
    </row>
    <row r="179" spans="1:66" s="4" customFormat="1" ht="97.9" customHeight="1" x14ac:dyDescent="0.2">
      <c r="A179" s="28" t="s">
        <v>370</v>
      </c>
      <c r="B179" s="37" t="s">
        <v>12</v>
      </c>
      <c r="C179" s="38" t="s">
        <v>369</v>
      </c>
      <c r="D179" s="58">
        <v>2000000</v>
      </c>
      <c r="E179" s="118">
        <v>1199372.1399999999</v>
      </c>
      <c r="F179" s="110">
        <f t="shared" si="31"/>
        <v>0.59968606999999996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91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BM179" s="3"/>
      <c r="BN179" s="3"/>
    </row>
    <row r="180" spans="1:66" s="4" customFormat="1" ht="22.15" customHeight="1" x14ac:dyDescent="0.25">
      <c r="A180" s="28" t="s">
        <v>232</v>
      </c>
      <c r="B180" s="16" t="s">
        <v>5</v>
      </c>
      <c r="C180" s="17" t="s">
        <v>233</v>
      </c>
      <c r="D180" s="58">
        <f>+D187+D190+D181</f>
        <v>-1272427.5</v>
      </c>
      <c r="E180" s="58">
        <f>+E187+E190+E181</f>
        <v>-1730393.62</v>
      </c>
      <c r="F180" s="110">
        <f t="shared" si="31"/>
        <v>1.3599152957634129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91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6" s="4" customFormat="1" ht="13.9" customHeight="1" x14ac:dyDescent="0.25">
      <c r="A181" s="117" t="s">
        <v>482</v>
      </c>
      <c r="B181" s="16" t="s">
        <v>5</v>
      </c>
      <c r="C181" s="85" t="s">
        <v>485</v>
      </c>
      <c r="D181" s="58">
        <f>+D182</f>
        <v>0</v>
      </c>
      <c r="E181" s="58">
        <f>+E182</f>
        <v>-69167.500000000015</v>
      </c>
      <c r="F181" s="110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09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6" s="4" customFormat="1" ht="25.5" x14ac:dyDescent="0.25">
      <c r="A182" s="117" t="s">
        <v>483</v>
      </c>
      <c r="B182" s="16" t="s">
        <v>5</v>
      </c>
      <c r="C182" s="85" t="s">
        <v>484</v>
      </c>
      <c r="D182" s="58">
        <f>+D183+D184+D185+D186</f>
        <v>0</v>
      </c>
      <c r="E182" s="58">
        <f>+E183+E184+E185+E186</f>
        <v>-69167.500000000015</v>
      </c>
      <c r="F182" s="110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09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6" s="4" customFormat="1" ht="25.5" x14ac:dyDescent="0.25">
      <c r="A183" s="117" t="s">
        <v>483</v>
      </c>
      <c r="B183" s="16" t="s">
        <v>77</v>
      </c>
      <c r="C183" s="85" t="s">
        <v>484</v>
      </c>
      <c r="D183" s="58">
        <v>0</v>
      </c>
      <c r="E183" s="118">
        <v>716.16</v>
      </c>
      <c r="F183" s="110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09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6" s="4" customFormat="1" ht="25.5" x14ac:dyDescent="0.25">
      <c r="A184" s="117" t="s">
        <v>483</v>
      </c>
      <c r="B184" s="16" t="s">
        <v>249</v>
      </c>
      <c r="C184" s="85" t="s">
        <v>484</v>
      </c>
      <c r="D184" s="58">
        <v>0</v>
      </c>
      <c r="E184" s="118">
        <v>122850</v>
      </c>
      <c r="F184" s="110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09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6" s="4" customFormat="1" ht="25.5" x14ac:dyDescent="0.25">
      <c r="A185" s="117" t="s">
        <v>483</v>
      </c>
      <c r="B185" s="16" t="s">
        <v>212</v>
      </c>
      <c r="C185" s="85" t="s">
        <v>484</v>
      </c>
      <c r="D185" s="58">
        <v>0</v>
      </c>
      <c r="E185" s="118">
        <v>-8751.02</v>
      </c>
      <c r="F185" s="110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09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6" s="4" customFormat="1" ht="25.5" x14ac:dyDescent="0.25">
      <c r="A186" s="117" t="s">
        <v>483</v>
      </c>
      <c r="B186" s="16" t="s">
        <v>79</v>
      </c>
      <c r="C186" s="85" t="s">
        <v>484</v>
      </c>
      <c r="D186" s="58">
        <v>0</v>
      </c>
      <c r="E186" s="118">
        <v>-183982.64</v>
      </c>
      <c r="F186" s="110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09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6" s="4" customFormat="1" ht="16.149999999999999" customHeight="1" x14ac:dyDescent="0.25">
      <c r="A187" s="28" t="s">
        <v>234</v>
      </c>
      <c r="B187" s="16" t="s">
        <v>5</v>
      </c>
      <c r="C187" s="17" t="s">
        <v>235</v>
      </c>
      <c r="D187" s="58">
        <f t="shared" ref="D187:E188" si="41">+D188</f>
        <v>674636</v>
      </c>
      <c r="E187" s="58">
        <f t="shared" si="41"/>
        <v>185508.88</v>
      </c>
      <c r="F187" s="110">
        <f t="shared" si="31"/>
        <v>0.27497625386134156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91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6" s="4" customFormat="1" ht="15.6" customHeight="1" x14ac:dyDescent="0.25">
      <c r="A188" s="28" t="s">
        <v>236</v>
      </c>
      <c r="B188" s="16" t="s">
        <v>5</v>
      </c>
      <c r="C188" s="17" t="s">
        <v>237</v>
      </c>
      <c r="D188" s="58">
        <f t="shared" si="41"/>
        <v>674636</v>
      </c>
      <c r="E188" s="58">
        <f t="shared" si="41"/>
        <v>185508.88</v>
      </c>
      <c r="F188" s="110">
        <f t="shared" si="31"/>
        <v>0.27497625386134156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91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6" s="4" customFormat="1" ht="31.9" customHeight="1" x14ac:dyDescent="0.25">
      <c r="A189" s="57" t="s">
        <v>238</v>
      </c>
      <c r="B189" s="16" t="s">
        <v>77</v>
      </c>
      <c r="C189" s="17" t="s">
        <v>239</v>
      </c>
      <c r="D189" s="58">
        <v>674636</v>
      </c>
      <c r="E189" s="58">
        <v>185508.88</v>
      </c>
      <c r="F189" s="110">
        <f t="shared" si="31"/>
        <v>0.27497625386134156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91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6" s="4" customFormat="1" ht="14.45" customHeight="1" x14ac:dyDescent="0.25">
      <c r="A190" s="57" t="s">
        <v>352</v>
      </c>
      <c r="B190" s="16" t="s">
        <v>5</v>
      </c>
      <c r="C190" s="17" t="s">
        <v>353</v>
      </c>
      <c r="D190" s="58">
        <f>+D191</f>
        <v>-1947063.5</v>
      </c>
      <c r="E190" s="58">
        <f t="shared" ref="E190" si="42">+E191</f>
        <v>-1846735</v>
      </c>
      <c r="F190" s="110">
        <f t="shared" si="31"/>
        <v>0.94847189113246688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91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6" s="4" customFormat="1" ht="29.45" customHeight="1" x14ac:dyDescent="0.25">
      <c r="A191" s="57" t="s">
        <v>354</v>
      </c>
      <c r="B191" s="16" t="s">
        <v>5</v>
      </c>
      <c r="C191" s="17" t="s">
        <v>355</v>
      </c>
      <c r="D191" s="58">
        <f>+D192+D193+D194+D195+D196+D197+D198+D199+D200</f>
        <v>-1947063.5</v>
      </c>
      <c r="E191" s="58">
        <f t="shared" ref="E191" si="43">+E192+E193+E194+E195+E196+E197+E198+E199+E200</f>
        <v>-1846735</v>
      </c>
      <c r="F191" s="110">
        <f t="shared" si="31"/>
        <v>0.94847189113246688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91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6" s="4" customFormat="1" ht="27.6" customHeight="1" x14ac:dyDescent="0.25">
      <c r="A192" s="94" t="s">
        <v>356</v>
      </c>
      <c r="B192" s="16" t="s">
        <v>212</v>
      </c>
      <c r="C192" s="102" t="s">
        <v>426</v>
      </c>
      <c r="D192" s="58">
        <v>-225000</v>
      </c>
      <c r="E192" s="118">
        <v>-225000</v>
      </c>
      <c r="F192" s="110">
        <f t="shared" si="31"/>
        <v>1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91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6" s="4" customFormat="1" ht="58.9" customHeight="1" x14ac:dyDescent="0.25">
      <c r="A193" s="94" t="s">
        <v>357</v>
      </c>
      <c r="B193" s="16" t="s">
        <v>212</v>
      </c>
      <c r="C193" s="102" t="s">
        <v>427</v>
      </c>
      <c r="D193" s="58">
        <v>-220000</v>
      </c>
      <c r="E193" s="118">
        <v>-220000</v>
      </c>
      <c r="F193" s="110">
        <f t="shared" si="31"/>
        <v>1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91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6" s="4" customFormat="1" ht="42" customHeight="1" x14ac:dyDescent="0.25">
      <c r="A194" s="94" t="s">
        <v>358</v>
      </c>
      <c r="B194" s="16" t="s">
        <v>212</v>
      </c>
      <c r="C194" s="102" t="s">
        <v>428</v>
      </c>
      <c r="D194" s="58">
        <f>-100000-100328.5</f>
        <v>-200328.5</v>
      </c>
      <c r="E194" s="118">
        <v>-100000</v>
      </c>
      <c r="F194" s="110">
        <f t="shared" si="31"/>
        <v>0.49918009669118474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91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6" s="4" customFormat="1" ht="69.599999999999994" customHeight="1" x14ac:dyDescent="0.25">
      <c r="A195" s="94" t="s">
        <v>359</v>
      </c>
      <c r="B195" s="16" t="s">
        <v>212</v>
      </c>
      <c r="C195" s="102" t="s">
        <v>429</v>
      </c>
      <c r="D195" s="58">
        <v>-224719</v>
      </c>
      <c r="E195" s="118">
        <v>-224719</v>
      </c>
      <c r="F195" s="110">
        <f t="shared" si="31"/>
        <v>1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91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6" s="4" customFormat="1" ht="72" customHeight="1" x14ac:dyDescent="0.25">
      <c r="A196" s="94" t="s">
        <v>360</v>
      </c>
      <c r="B196" s="16" t="s">
        <v>212</v>
      </c>
      <c r="C196" s="102" t="s">
        <v>430</v>
      </c>
      <c r="D196" s="58">
        <v>-224719</v>
      </c>
      <c r="E196" s="118">
        <v>-224719</v>
      </c>
      <c r="F196" s="110">
        <f t="shared" si="31"/>
        <v>1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91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6" s="4" customFormat="1" ht="72" customHeight="1" x14ac:dyDescent="0.25">
      <c r="A197" s="94" t="s">
        <v>361</v>
      </c>
      <c r="B197" s="16" t="s">
        <v>212</v>
      </c>
      <c r="C197" s="102" t="s">
        <v>431</v>
      </c>
      <c r="D197" s="58">
        <v>-178140</v>
      </c>
      <c r="E197" s="118">
        <v>-178140</v>
      </c>
      <c r="F197" s="110">
        <f t="shared" si="31"/>
        <v>1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91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6" s="4" customFormat="1" ht="43.9" customHeight="1" x14ac:dyDescent="0.25">
      <c r="A198" s="94" t="s">
        <v>362</v>
      </c>
      <c r="B198" s="16" t="s">
        <v>212</v>
      </c>
      <c r="C198" s="102" t="s">
        <v>432</v>
      </c>
      <c r="D198" s="58">
        <v>-224719</v>
      </c>
      <c r="E198" s="118">
        <v>-224719</v>
      </c>
      <c r="F198" s="110">
        <f t="shared" si="31"/>
        <v>1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91"/>
      <c r="W198" s="3"/>
      <c r="X198" s="3"/>
      <c r="Y198" s="3"/>
      <c r="Z198" s="3"/>
      <c r="AC198" s="5"/>
      <c r="AD198" s="5"/>
      <c r="AE198" s="5"/>
      <c r="AF198" s="5"/>
      <c r="AG198" s="5"/>
      <c r="AH198" s="5"/>
      <c r="AI198" s="3"/>
      <c r="AJ198" s="3"/>
      <c r="AK198" s="3"/>
      <c r="AL198" s="3"/>
      <c r="AM198" s="3"/>
      <c r="AN198" s="3"/>
      <c r="AO198" s="3"/>
      <c r="AP198" s="3"/>
      <c r="AQ198" s="3"/>
      <c r="AR198" s="6"/>
      <c r="AS198" s="6"/>
      <c r="AT198" s="3"/>
      <c r="AU198" s="3"/>
      <c r="AV198" s="3"/>
      <c r="AW198" s="3"/>
      <c r="BM198" s="3"/>
      <c r="BN198" s="3"/>
    </row>
    <row r="199" spans="1:66" s="4" customFormat="1" ht="40.9" customHeight="1" x14ac:dyDescent="0.25">
      <c r="A199" s="94" t="s">
        <v>363</v>
      </c>
      <c r="B199" s="16" t="s">
        <v>212</v>
      </c>
      <c r="C199" s="102" t="s">
        <v>433</v>
      </c>
      <c r="D199" s="58">
        <v>-224719</v>
      </c>
      <c r="E199" s="118">
        <v>-224719</v>
      </c>
      <c r="F199" s="110">
        <f t="shared" si="31"/>
        <v>1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91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</row>
    <row r="200" spans="1:66" s="4" customFormat="1" ht="42.6" customHeight="1" x14ac:dyDescent="0.25">
      <c r="A200" s="94" t="s">
        <v>364</v>
      </c>
      <c r="B200" s="16" t="s">
        <v>212</v>
      </c>
      <c r="C200" s="102" t="s">
        <v>434</v>
      </c>
      <c r="D200" s="58">
        <v>-224719</v>
      </c>
      <c r="E200" s="118">
        <v>-224719</v>
      </c>
      <c r="F200" s="110">
        <f t="shared" si="31"/>
        <v>1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91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BM200" s="3"/>
      <c r="BN200" s="3"/>
    </row>
    <row r="201" spans="1:66" s="4" customFormat="1" ht="15" customHeight="1" x14ac:dyDescent="0.25">
      <c r="A201" s="57" t="s">
        <v>240</v>
      </c>
      <c r="B201" s="16" t="s">
        <v>5</v>
      </c>
      <c r="C201" s="17" t="s">
        <v>241</v>
      </c>
      <c r="D201" s="58">
        <f>+D202+D269+D276</f>
        <v>2935693664.5299997</v>
      </c>
      <c r="E201" s="58">
        <f>+E202+E269+E276</f>
        <v>557672658.16999996</v>
      </c>
      <c r="F201" s="110">
        <f t="shared" ref="F201:F263" si="44">+E201/D201</f>
        <v>0.18996282374689885</v>
      </c>
      <c r="G201" s="3"/>
      <c r="H201" s="25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91"/>
      <c r="W201" s="3"/>
      <c r="X201" s="3"/>
      <c r="Y201" s="3"/>
      <c r="Z201" s="3"/>
      <c r="AB201" s="12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BM201" s="3"/>
      <c r="BN201" s="3"/>
    </row>
    <row r="202" spans="1:66" s="4" customFormat="1" ht="29.45" customHeight="1" x14ac:dyDescent="0.25">
      <c r="A202" s="81" t="s">
        <v>242</v>
      </c>
      <c r="B202" s="16" t="s">
        <v>5</v>
      </c>
      <c r="C202" s="17" t="s">
        <v>243</v>
      </c>
      <c r="D202" s="58">
        <f>+D244+D203+D208+D264</f>
        <v>2935710957.5999999</v>
      </c>
      <c r="E202" s="58">
        <f t="shared" ref="E202" si="45">+E244+E203+E208+E264</f>
        <v>557683539.99000001</v>
      </c>
      <c r="F202" s="110">
        <f t="shared" si="44"/>
        <v>0.18996541146064225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91"/>
      <c r="W202" s="3"/>
      <c r="X202" s="3"/>
      <c r="Y202" s="3"/>
      <c r="Z202" s="3"/>
      <c r="AC202" s="5"/>
      <c r="AD202" s="5"/>
      <c r="AE202" s="5"/>
      <c r="AF202" s="5"/>
      <c r="AG202" s="5"/>
      <c r="AH202" s="5"/>
      <c r="AI202" s="3"/>
      <c r="AJ202" s="3"/>
      <c r="AK202" s="3"/>
      <c r="AL202" s="3"/>
      <c r="AM202" s="3"/>
      <c r="AN202" s="3"/>
      <c r="AO202" s="3"/>
      <c r="AP202" s="3"/>
      <c r="AQ202" s="3"/>
      <c r="AR202" s="6"/>
      <c r="AS202" s="6"/>
      <c r="AT202" s="3"/>
      <c r="AU202" s="3"/>
      <c r="AV202" s="3"/>
      <c r="AW202" s="3"/>
      <c r="BM202" s="3"/>
      <c r="BN202" s="3"/>
    </row>
    <row r="203" spans="1:66" s="4" customFormat="1" ht="15.6" customHeight="1" x14ac:dyDescent="0.25">
      <c r="A203" s="81" t="s">
        <v>244</v>
      </c>
      <c r="B203" s="16" t="s">
        <v>5</v>
      </c>
      <c r="C203" s="17" t="s">
        <v>245</v>
      </c>
      <c r="D203" s="58">
        <f>+D204+D206</f>
        <v>149435200</v>
      </c>
      <c r="E203" s="58">
        <f t="shared" ref="E203" si="46">+E204+E206</f>
        <v>61648200</v>
      </c>
      <c r="F203" s="110">
        <f t="shared" si="44"/>
        <v>0.41254135571806377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91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BM203" s="3"/>
      <c r="BN203" s="3"/>
    </row>
    <row r="204" spans="1:66" s="4" customFormat="1" ht="19.899999999999999" customHeight="1" x14ac:dyDescent="0.25">
      <c r="A204" s="82" t="s">
        <v>246</v>
      </c>
      <c r="B204" s="16" t="s">
        <v>5</v>
      </c>
      <c r="C204" s="29" t="s">
        <v>247</v>
      </c>
      <c r="D204" s="58">
        <f>+D205</f>
        <v>44904800</v>
      </c>
      <c r="E204" s="58">
        <f t="shared" ref="E204" si="47">+E205</f>
        <v>11226200</v>
      </c>
      <c r="F204" s="110">
        <f t="shared" si="44"/>
        <v>0.25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91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6" s="4" customFormat="1" ht="44.45" customHeight="1" x14ac:dyDescent="0.25">
      <c r="A205" s="82" t="s">
        <v>248</v>
      </c>
      <c r="B205" s="16" t="s">
        <v>249</v>
      </c>
      <c r="C205" s="17" t="s">
        <v>250</v>
      </c>
      <c r="D205" s="58">
        <v>44904800</v>
      </c>
      <c r="E205" s="118">
        <v>11226200</v>
      </c>
      <c r="F205" s="110">
        <f t="shared" si="44"/>
        <v>0.25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91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6" s="4" customFormat="1" ht="31.9" customHeight="1" x14ac:dyDescent="0.25">
      <c r="A206" s="28" t="s">
        <v>392</v>
      </c>
      <c r="B206" s="16" t="s">
        <v>5</v>
      </c>
      <c r="C206" s="69" t="s">
        <v>394</v>
      </c>
      <c r="D206" s="58">
        <f>+D207</f>
        <v>104530400</v>
      </c>
      <c r="E206" s="58">
        <f t="shared" ref="E206" si="48">+E207</f>
        <v>50422000</v>
      </c>
      <c r="F206" s="110">
        <f t="shared" si="44"/>
        <v>0.48236685213105468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91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6" s="4" customFormat="1" ht="31.15" customHeight="1" x14ac:dyDescent="0.25">
      <c r="A207" s="82" t="s">
        <v>392</v>
      </c>
      <c r="B207" s="16" t="s">
        <v>249</v>
      </c>
      <c r="C207" s="17" t="s">
        <v>393</v>
      </c>
      <c r="D207" s="58">
        <v>104530400</v>
      </c>
      <c r="E207" s="118">
        <v>50422000</v>
      </c>
      <c r="F207" s="110">
        <f t="shared" si="44"/>
        <v>0.48236685213105468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91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6" s="4" customFormat="1" ht="31.15" customHeight="1" x14ac:dyDescent="0.25">
      <c r="A208" s="57" t="s">
        <v>251</v>
      </c>
      <c r="B208" s="16" t="s">
        <v>5</v>
      </c>
      <c r="C208" s="16" t="s">
        <v>252</v>
      </c>
      <c r="D208" s="58">
        <f>+D215+D227+D213+D219+D225+D221+D223+D217+D209+D211</f>
        <v>747510657.60000002</v>
      </c>
      <c r="E208" s="58">
        <f>+E215+E227+E213+E219+E225+E221+E223+E217+E209+E211</f>
        <v>81438009.540000007</v>
      </c>
      <c r="F208" s="110">
        <f t="shared" si="44"/>
        <v>0.10894561664374056</v>
      </c>
      <c r="G208" s="3"/>
      <c r="H208" s="25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91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114" customFormat="1" ht="100.15" customHeight="1" x14ac:dyDescent="0.25">
      <c r="A209" s="117" t="s">
        <v>487</v>
      </c>
      <c r="B209" s="16" t="s">
        <v>5</v>
      </c>
      <c r="C209" s="85" t="s">
        <v>490</v>
      </c>
      <c r="D209" s="58">
        <f>+D210</f>
        <v>25400500</v>
      </c>
      <c r="E209" s="58">
        <f>+E210</f>
        <v>1260071</v>
      </c>
      <c r="F209" s="110">
        <f t="shared" si="44"/>
        <v>4.9608117950434044E-2</v>
      </c>
      <c r="G209" s="112"/>
      <c r="H209" s="113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  <c r="AC209" s="115"/>
      <c r="AD209" s="115"/>
      <c r="AE209" s="115"/>
      <c r="AF209" s="115"/>
      <c r="AG209" s="115"/>
      <c r="AH209" s="115"/>
      <c r="AI209" s="112"/>
      <c r="AJ209" s="112"/>
      <c r="AK209" s="112"/>
      <c r="AL209" s="112"/>
      <c r="AM209" s="112"/>
      <c r="AN209" s="112"/>
      <c r="AO209" s="112"/>
      <c r="AP209" s="112"/>
      <c r="AQ209" s="112"/>
      <c r="AR209" s="116"/>
      <c r="AS209" s="116"/>
      <c r="AT209" s="112"/>
      <c r="AU209" s="112"/>
      <c r="AV209" s="112"/>
      <c r="AW209" s="112"/>
      <c r="BM209" s="112"/>
      <c r="BN209" s="112"/>
    </row>
    <row r="210" spans="1:66" s="114" customFormat="1" ht="95.45" customHeight="1" x14ac:dyDescent="0.25">
      <c r="A210" s="117" t="s">
        <v>488</v>
      </c>
      <c r="B210" s="16" t="s">
        <v>79</v>
      </c>
      <c r="C210" s="85" t="s">
        <v>489</v>
      </c>
      <c r="D210" s="58">
        <v>25400500</v>
      </c>
      <c r="E210" s="58">
        <v>1260071</v>
      </c>
      <c r="F210" s="110">
        <f t="shared" si="44"/>
        <v>4.9608117950434044E-2</v>
      </c>
      <c r="G210" s="112"/>
      <c r="H210" s="113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  <c r="Z210" s="112"/>
      <c r="AC210" s="115"/>
      <c r="AD210" s="115"/>
      <c r="AE210" s="115"/>
      <c r="AF210" s="115"/>
      <c r="AG210" s="115"/>
      <c r="AH210" s="115"/>
      <c r="AI210" s="112"/>
      <c r="AJ210" s="112"/>
      <c r="AK210" s="112"/>
      <c r="AL210" s="112"/>
      <c r="AM210" s="112"/>
      <c r="AN210" s="112"/>
      <c r="AO210" s="112"/>
      <c r="AP210" s="112"/>
      <c r="AQ210" s="112"/>
      <c r="AR210" s="116"/>
      <c r="AS210" s="116"/>
      <c r="AT210" s="112"/>
      <c r="AU210" s="112"/>
      <c r="AV210" s="112"/>
      <c r="AW210" s="112"/>
      <c r="BM210" s="112"/>
      <c r="BN210" s="112"/>
    </row>
    <row r="211" spans="1:66" s="114" customFormat="1" ht="42.6" customHeight="1" x14ac:dyDescent="0.25">
      <c r="A211" s="117" t="s">
        <v>491</v>
      </c>
      <c r="B211" s="16" t="s">
        <v>5</v>
      </c>
      <c r="C211" s="85" t="s">
        <v>493</v>
      </c>
      <c r="D211" s="58">
        <f>+D212</f>
        <v>14840000</v>
      </c>
      <c r="E211" s="58">
        <f>+E212</f>
        <v>0</v>
      </c>
      <c r="F211" s="110">
        <f t="shared" si="44"/>
        <v>0</v>
      </c>
      <c r="G211" s="112"/>
      <c r="H211" s="113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  <c r="Z211" s="112"/>
      <c r="AC211" s="115"/>
      <c r="AD211" s="115"/>
      <c r="AE211" s="115"/>
      <c r="AF211" s="115"/>
      <c r="AG211" s="115"/>
      <c r="AH211" s="115"/>
      <c r="AI211" s="112"/>
      <c r="AJ211" s="112"/>
      <c r="AK211" s="112"/>
      <c r="AL211" s="112"/>
      <c r="AM211" s="112"/>
      <c r="AN211" s="112"/>
      <c r="AO211" s="112"/>
      <c r="AP211" s="112"/>
      <c r="AQ211" s="112"/>
      <c r="AR211" s="116"/>
      <c r="AS211" s="116"/>
      <c r="AT211" s="112"/>
      <c r="AU211" s="112"/>
      <c r="AV211" s="112"/>
      <c r="AW211" s="112"/>
      <c r="BM211" s="112"/>
      <c r="BN211" s="112"/>
    </row>
    <row r="212" spans="1:66" s="114" customFormat="1" ht="40.9" customHeight="1" x14ac:dyDescent="0.25">
      <c r="A212" s="117" t="s">
        <v>492</v>
      </c>
      <c r="B212" s="16" t="s">
        <v>271</v>
      </c>
      <c r="C212" s="85" t="s">
        <v>494</v>
      </c>
      <c r="D212" s="58">
        <v>14840000</v>
      </c>
      <c r="E212" s="58">
        <v>0</v>
      </c>
      <c r="F212" s="110">
        <f t="shared" si="44"/>
        <v>0</v>
      </c>
      <c r="G212" s="112"/>
      <c r="H212" s="113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  <c r="Z212" s="112"/>
      <c r="AC212" s="115"/>
      <c r="AD212" s="115"/>
      <c r="AE212" s="115"/>
      <c r="AF212" s="115"/>
      <c r="AG212" s="115"/>
      <c r="AH212" s="115"/>
      <c r="AI212" s="112"/>
      <c r="AJ212" s="112"/>
      <c r="AK212" s="112"/>
      <c r="AL212" s="112"/>
      <c r="AM212" s="112"/>
      <c r="AN212" s="112"/>
      <c r="AO212" s="112"/>
      <c r="AP212" s="112"/>
      <c r="AQ212" s="112"/>
      <c r="AR212" s="116"/>
      <c r="AS212" s="116"/>
      <c r="AT212" s="112"/>
      <c r="AU212" s="112"/>
      <c r="AV212" s="112"/>
      <c r="AW212" s="112"/>
      <c r="BM212" s="112"/>
      <c r="BN212" s="112"/>
    </row>
    <row r="213" spans="1:66" s="4" customFormat="1" ht="57" customHeight="1" x14ac:dyDescent="0.25">
      <c r="A213" s="96" t="s">
        <v>253</v>
      </c>
      <c r="B213" s="70" t="s">
        <v>5</v>
      </c>
      <c r="C213" s="70" t="s">
        <v>254</v>
      </c>
      <c r="D213" s="58">
        <f t="shared" ref="D213:E213" si="49">+D214</f>
        <v>56916500</v>
      </c>
      <c r="E213" s="58">
        <f t="shared" si="49"/>
        <v>11797049.550000001</v>
      </c>
      <c r="F213" s="110">
        <f t="shared" si="44"/>
        <v>0.20726941308759325</v>
      </c>
      <c r="G213" s="3"/>
      <c r="H213" s="25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91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55.9" customHeight="1" x14ac:dyDescent="0.25">
      <c r="A214" s="96" t="s">
        <v>255</v>
      </c>
      <c r="B214" s="70" t="s">
        <v>256</v>
      </c>
      <c r="C214" s="70" t="s">
        <v>257</v>
      </c>
      <c r="D214" s="58">
        <f>57764900-848400</f>
        <v>56916500</v>
      </c>
      <c r="E214" s="118">
        <v>11797049.550000001</v>
      </c>
      <c r="F214" s="110">
        <f t="shared" si="44"/>
        <v>0.20726941308759325</v>
      </c>
      <c r="G214" s="3"/>
      <c r="H214" s="25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91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56.45" customHeight="1" x14ac:dyDescent="0.25">
      <c r="A215" s="97" t="s">
        <v>258</v>
      </c>
      <c r="B215" s="37" t="s">
        <v>5</v>
      </c>
      <c r="C215" s="37" t="s">
        <v>259</v>
      </c>
      <c r="D215" s="58">
        <f>D216</f>
        <v>2783996.86</v>
      </c>
      <c r="E215" s="58">
        <f>E216</f>
        <v>53399.99</v>
      </c>
      <c r="F215" s="110">
        <f t="shared" si="44"/>
        <v>1.9181052524606654E-2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91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ht="55.15" customHeight="1" x14ac:dyDescent="0.25">
      <c r="A216" s="97" t="s">
        <v>260</v>
      </c>
      <c r="B216" s="16" t="s">
        <v>261</v>
      </c>
      <c r="C216" s="16" t="s">
        <v>262</v>
      </c>
      <c r="D216" s="58">
        <f>2784000-3.14</f>
        <v>2783996.86</v>
      </c>
      <c r="E216" s="118">
        <v>53399.99</v>
      </c>
      <c r="F216" s="110">
        <f t="shared" si="44"/>
        <v>1.9181052524606654E-2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91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25.5" x14ac:dyDescent="0.25">
      <c r="A217" s="97" t="s">
        <v>409</v>
      </c>
      <c r="B217" s="16" t="s">
        <v>5</v>
      </c>
      <c r="C217" s="16" t="s">
        <v>410</v>
      </c>
      <c r="D217" s="58">
        <f>+D218</f>
        <v>17274741.66</v>
      </c>
      <c r="E217" s="58">
        <f t="shared" ref="E217" si="50">+E218</f>
        <v>6718997.9500000002</v>
      </c>
      <c r="F217" s="110">
        <f t="shared" si="44"/>
        <v>0.38894925795376556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91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25.5" x14ac:dyDescent="0.25">
      <c r="A218" s="97" t="s">
        <v>407</v>
      </c>
      <c r="B218" s="16" t="s">
        <v>271</v>
      </c>
      <c r="C218" s="16" t="s">
        <v>408</v>
      </c>
      <c r="D218" s="58">
        <v>17274741.66</v>
      </c>
      <c r="E218" s="118">
        <v>6718997.9500000002</v>
      </c>
      <c r="F218" s="110">
        <f t="shared" si="44"/>
        <v>0.38894925795376556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91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ht="17.45" customHeight="1" x14ac:dyDescent="0.25">
      <c r="A219" s="97" t="s">
        <v>324</v>
      </c>
      <c r="B219" s="16" t="s">
        <v>5</v>
      </c>
      <c r="C219" s="16" t="s">
        <v>325</v>
      </c>
      <c r="D219" s="58">
        <f t="shared" ref="D219:E219" si="51">+D220</f>
        <v>444780</v>
      </c>
      <c r="E219" s="58">
        <f t="shared" si="51"/>
        <v>0</v>
      </c>
      <c r="F219" s="110">
        <f t="shared" si="44"/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91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31.15" customHeight="1" x14ac:dyDescent="0.25">
      <c r="A220" s="97" t="s">
        <v>327</v>
      </c>
      <c r="B220" s="16" t="s">
        <v>261</v>
      </c>
      <c r="C220" s="16" t="s">
        <v>326</v>
      </c>
      <c r="D220" s="58">
        <f>444800-20</f>
        <v>444780</v>
      </c>
      <c r="E220" s="58">
        <v>0</v>
      </c>
      <c r="F220" s="110">
        <f t="shared" si="44"/>
        <v>0</v>
      </c>
      <c r="G220" s="25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91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31.15" customHeight="1" x14ac:dyDescent="0.25">
      <c r="A221" s="97" t="s">
        <v>399</v>
      </c>
      <c r="B221" s="16" t="s">
        <v>5</v>
      </c>
      <c r="C221" s="16" t="s">
        <v>400</v>
      </c>
      <c r="D221" s="58">
        <f>+D222</f>
        <v>39167200</v>
      </c>
      <c r="E221" s="58">
        <f t="shared" ref="E221" si="52">+E222</f>
        <v>0</v>
      </c>
      <c r="F221" s="110">
        <f t="shared" si="44"/>
        <v>0</v>
      </c>
      <c r="G221" s="2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91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31.15" customHeight="1" x14ac:dyDescent="0.25">
      <c r="A222" s="97" t="s">
        <v>397</v>
      </c>
      <c r="B222" s="16" t="s">
        <v>79</v>
      </c>
      <c r="C222" s="16" t="s">
        <v>398</v>
      </c>
      <c r="D222" s="58">
        <v>39167200</v>
      </c>
      <c r="E222" s="58">
        <v>0</v>
      </c>
      <c r="F222" s="110">
        <f t="shared" si="44"/>
        <v>0</v>
      </c>
      <c r="G222" s="25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91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31.15" customHeight="1" x14ac:dyDescent="0.25">
      <c r="A223" s="97" t="s">
        <v>404</v>
      </c>
      <c r="B223" s="16" t="s">
        <v>5</v>
      </c>
      <c r="C223" s="16" t="s">
        <v>405</v>
      </c>
      <c r="D223" s="58">
        <f>+D224</f>
        <v>4832296.28</v>
      </c>
      <c r="E223" s="58">
        <f t="shared" ref="E223" si="53">+E224</f>
        <v>0</v>
      </c>
      <c r="F223" s="110">
        <f t="shared" si="44"/>
        <v>0</v>
      </c>
      <c r="G223" s="2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91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31.15" customHeight="1" x14ac:dyDescent="0.25">
      <c r="A224" s="97" t="s">
        <v>402</v>
      </c>
      <c r="B224" s="16" t="s">
        <v>261</v>
      </c>
      <c r="C224" s="16" t="s">
        <v>403</v>
      </c>
      <c r="D224" s="58">
        <v>4832296.28</v>
      </c>
      <c r="E224" s="58">
        <v>0</v>
      </c>
      <c r="F224" s="110">
        <f t="shared" si="44"/>
        <v>0</v>
      </c>
      <c r="G224" s="25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91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7" s="4" customFormat="1" ht="31.15" customHeight="1" x14ac:dyDescent="0.25">
      <c r="A225" s="97" t="s">
        <v>349</v>
      </c>
      <c r="B225" s="16" t="s">
        <v>5</v>
      </c>
      <c r="C225" s="16" t="s">
        <v>350</v>
      </c>
      <c r="D225" s="58">
        <f>+D226</f>
        <v>117542700</v>
      </c>
      <c r="E225" s="58">
        <f t="shared" ref="E225" si="54">+E226</f>
        <v>10840963.24</v>
      </c>
      <c r="F225" s="110">
        <f t="shared" si="44"/>
        <v>9.2230000161643386E-2</v>
      </c>
      <c r="G225" s="25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91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7" s="4" customFormat="1" ht="33.6" customHeight="1" x14ac:dyDescent="0.25">
      <c r="A226" s="97" t="s">
        <v>347</v>
      </c>
      <c r="B226" s="16" t="s">
        <v>256</v>
      </c>
      <c r="C226" s="16" t="s">
        <v>348</v>
      </c>
      <c r="D226" s="58">
        <v>117542700</v>
      </c>
      <c r="E226" s="118">
        <v>10840963.24</v>
      </c>
      <c r="F226" s="110">
        <f t="shared" si="44"/>
        <v>9.2230000161643386E-2</v>
      </c>
      <c r="G226" s="25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91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7" s="4" customFormat="1" ht="15.6" customHeight="1" x14ac:dyDescent="0.25">
      <c r="A227" s="57" t="s">
        <v>263</v>
      </c>
      <c r="B227" s="16" t="s">
        <v>5</v>
      </c>
      <c r="C227" s="33" t="s">
        <v>264</v>
      </c>
      <c r="D227" s="58">
        <f>+D228</f>
        <v>468307942.80000001</v>
      </c>
      <c r="E227" s="58">
        <f>+E228</f>
        <v>50767527.810000002</v>
      </c>
      <c r="F227" s="110">
        <f t="shared" si="44"/>
        <v>0.10840629246316512</v>
      </c>
      <c r="G227" s="3"/>
      <c r="H227" s="25"/>
      <c r="I227" s="25"/>
      <c r="J227" s="25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91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7" s="4" customFormat="1" ht="18" customHeight="1" x14ac:dyDescent="0.25">
      <c r="A228" s="57" t="s">
        <v>265</v>
      </c>
      <c r="B228" s="16" t="s">
        <v>5</v>
      </c>
      <c r="C228" s="33" t="s">
        <v>266</v>
      </c>
      <c r="D228" s="58">
        <f>+D229+D230+D231+D232+D233+D234+D235+D236+D237+D238+D239+D240+D241+D242+D243</f>
        <v>468307942.80000001</v>
      </c>
      <c r="E228" s="58">
        <f t="shared" ref="E228" si="55">+E229+E230+E231+E232+E233+E234+E235+E236+E237+E238+E239+E240+E241+E242+E243</f>
        <v>50767527.810000002</v>
      </c>
      <c r="F228" s="110">
        <f t="shared" si="44"/>
        <v>0.10840629246316512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91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7" s="4" customFormat="1" ht="54.6" customHeight="1" x14ac:dyDescent="0.25">
      <c r="A229" s="28" t="s">
        <v>331</v>
      </c>
      <c r="B229" s="16" t="s">
        <v>261</v>
      </c>
      <c r="C229" s="33" t="s">
        <v>266</v>
      </c>
      <c r="D229" s="58">
        <f>90044700-25000000</f>
        <v>65044700</v>
      </c>
      <c r="E229" s="58">
        <v>0</v>
      </c>
      <c r="F229" s="110">
        <f t="shared" si="44"/>
        <v>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91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  <c r="BO229" s="65"/>
    </row>
    <row r="230" spans="1:67" s="4" customFormat="1" ht="44.45" customHeight="1" x14ac:dyDescent="0.25">
      <c r="A230" s="28" t="s">
        <v>401</v>
      </c>
      <c r="B230" s="16" t="s">
        <v>261</v>
      </c>
      <c r="C230" s="33" t="s">
        <v>266</v>
      </c>
      <c r="D230" s="58">
        <v>658040</v>
      </c>
      <c r="E230" s="58">
        <v>0</v>
      </c>
      <c r="F230" s="110">
        <f t="shared" si="44"/>
        <v>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91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  <c r="BO230" s="65"/>
    </row>
    <row r="231" spans="1:67" s="4" customFormat="1" ht="69.599999999999994" customHeight="1" x14ac:dyDescent="0.25">
      <c r="A231" s="79" t="s">
        <v>345</v>
      </c>
      <c r="B231" s="16" t="s">
        <v>256</v>
      </c>
      <c r="C231" s="33" t="s">
        <v>266</v>
      </c>
      <c r="D231" s="61">
        <v>6953500</v>
      </c>
      <c r="E231" s="61">
        <v>0</v>
      </c>
      <c r="F231" s="110">
        <f t="shared" si="44"/>
        <v>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91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7" s="4" customFormat="1" ht="69.599999999999994" customHeight="1" x14ac:dyDescent="0.25">
      <c r="A232" s="79" t="s">
        <v>267</v>
      </c>
      <c r="B232" s="16" t="s">
        <v>256</v>
      </c>
      <c r="C232" s="33" t="s">
        <v>266</v>
      </c>
      <c r="D232" s="58">
        <f>2603200+347100</f>
        <v>2950300</v>
      </c>
      <c r="E232" s="58">
        <v>0</v>
      </c>
      <c r="F232" s="110">
        <f t="shared" si="44"/>
        <v>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91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7" s="4" customFormat="1" ht="69" customHeight="1" x14ac:dyDescent="0.25">
      <c r="A233" s="28" t="s">
        <v>268</v>
      </c>
      <c r="B233" s="16" t="s">
        <v>256</v>
      </c>
      <c r="C233" s="33" t="s">
        <v>266</v>
      </c>
      <c r="D233" s="58">
        <f>10850300+1725900</f>
        <v>12576200</v>
      </c>
      <c r="E233" s="58">
        <v>3697940.01</v>
      </c>
      <c r="F233" s="110">
        <f t="shared" si="44"/>
        <v>0.29404271640082058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91"/>
      <c r="W233" s="3"/>
      <c r="X233" s="3"/>
      <c r="Y233" s="3"/>
      <c r="Z233" s="3"/>
      <c r="AC233" s="5"/>
      <c r="AD233" s="5"/>
      <c r="AE233" s="5"/>
      <c r="AF233" s="5"/>
      <c r="AG233" s="5"/>
      <c r="AH233" s="5"/>
      <c r="AI233" s="3"/>
      <c r="AJ233" s="3"/>
      <c r="AK233" s="3"/>
      <c r="AL233" s="3"/>
      <c r="AM233" s="3"/>
      <c r="AN233" s="3"/>
      <c r="AO233" s="3"/>
      <c r="AP233" s="3"/>
      <c r="AQ233" s="3"/>
      <c r="AR233" s="6"/>
      <c r="AS233" s="6"/>
      <c r="AT233" s="3"/>
      <c r="AU233" s="3"/>
      <c r="AV233" s="3"/>
      <c r="AW233" s="3"/>
      <c r="BM233" s="3"/>
      <c r="BN233" s="3"/>
    </row>
    <row r="234" spans="1:67" s="4" customFormat="1" ht="55.9" customHeight="1" x14ac:dyDescent="0.25">
      <c r="A234" s="28" t="s">
        <v>269</v>
      </c>
      <c r="B234" s="16" t="s">
        <v>256</v>
      </c>
      <c r="C234" s="33" t="s">
        <v>266</v>
      </c>
      <c r="D234" s="58">
        <f>5036300-73400</f>
        <v>4962900</v>
      </c>
      <c r="E234" s="58">
        <v>1549487.8</v>
      </c>
      <c r="F234" s="110">
        <f t="shared" si="44"/>
        <v>0.31221418928449091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91"/>
      <c r="W234" s="3"/>
      <c r="X234" s="3"/>
      <c r="Y234" s="3"/>
      <c r="Z234" s="3"/>
      <c r="AC234" s="5"/>
      <c r="AD234" s="5"/>
      <c r="AE234" s="5"/>
      <c r="AF234" s="5"/>
      <c r="AG234" s="5"/>
      <c r="AH234" s="5"/>
      <c r="AI234" s="3"/>
      <c r="AJ234" s="3"/>
      <c r="AK234" s="3"/>
      <c r="AL234" s="3"/>
      <c r="AM234" s="3"/>
      <c r="AN234" s="3"/>
      <c r="AO234" s="3"/>
      <c r="AP234" s="3"/>
      <c r="AQ234" s="3"/>
      <c r="AR234" s="6"/>
      <c r="AS234" s="6"/>
      <c r="AT234" s="3"/>
      <c r="AU234" s="3"/>
      <c r="AV234" s="3"/>
      <c r="AW234" s="3"/>
      <c r="BM234" s="3"/>
      <c r="BN234" s="3"/>
    </row>
    <row r="235" spans="1:67" s="4" customFormat="1" ht="41.45" customHeight="1" x14ac:dyDescent="0.25">
      <c r="A235" s="56" t="s">
        <v>346</v>
      </c>
      <c r="B235" s="16" t="s">
        <v>256</v>
      </c>
      <c r="C235" s="33" t="s">
        <v>266</v>
      </c>
      <c r="D235" s="58">
        <v>15000000</v>
      </c>
      <c r="E235" s="58">
        <v>0</v>
      </c>
      <c r="F235" s="110">
        <f t="shared" si="44"/>
        <v>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91"/>
      <c r="W235" s="3"/>
      <c r="X235" s="3"/>
      <c r="Y235" s="3"/>
      <c r="Z235" s="3"/>
      <c r="AC235" s="5"/>
      <c r="AD235" s="5"/>
      <c r="AE235" s="5"/>
      <c r="AF235" s="5"/>
      <c r="AG235" s="5"/>
      <c r="AH235" s="5"/>
      <c r="AI235" s="3"/>
      <c r="AJ235" s="3"/>
      <c r="AK235" s="3"/>
      <c r="AL235" s="3"/>
      <c r="AM235" s="3"/>
      <c r="AN235" s="3"/>
      <c r="AO235" s="3"/>
      <c r="AP235" s="3"/>
      <c r="AQ235" s="3"/>
      <c r="AR235" s="6"/>
      <c r="AS235" s="6"/>
      <c r="AT235" s="3"/>
      <c r="AU235" s="3"/>
      <c r="AV235" s="3"/>
      <c r="AW235" s="3"/>
      <c r="BM235" s="3"/>
      <c r="BN235" s="3"/>
    </row>
    <row r="236" spans="1:67" s="4" customFormat="1" ht="85.9" customHeight="1" x14ac:dyDescent="0.25">
      <c r="A236" s="56" t="s">
        <v>396</v>
      </c>
      <c r="B236" s="16" t="s">
        <v>256</v>
      </c>
      <c r="C236" s="33" t="s">
        <v>266</v>
      </c>
      <c r="D236" s="58">
        <v>1145689</v>
      </c>
      <c r="E236" s="58">
        <v>0</v>
      </c>
      <c r="F236" s="110">
        <f t="shared" si="44"/>
        <v>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91"/>
      <c r="W236" s="3"/>
      <c r="X236" s="3"/>
      <c r="Y236" s="3"/>
      <c r="Z236" s="3"/>
      <c r="AC236" s="5"/>
      <c r="AD236" s="5"/>
      <c r="AE236" s="5"/>
      <c r="AF236" s="5"/>
      <c r="AG236" s="5"/>
      <c r="AH236" s="5"/>
      <c r="AI236" s="3"/>
      <c r="AJ236" s="3"/>
      <c r="AK236" s="3"/>
      <c r="AL236" s="3"/>
      <c r="AM236" s="3"/>
      <c r="AN236" s="3"/>
      <c r="AO236" s="3"/>
      <c r="AP236" s="3"/>
      <c r="AQ236" s="3"/>
      <c r="AR236" s="6"/>
      <c r="AS236" s="6"/>
      <c r="AT236" s="3"/>
      <c r="AU236" s="3"/>
      <c r="AV236" s="3"/>
      <c r="AW236" s="3"/>
      <c r="BM236" s="3"/>
      <c r="BN236" s="3"/>
    </row>
    <row r="237" spans="1:67" s="4" customFormat="1" ht="95.45" customHeight="1" x14ac:dyDescent="0.25">
      <c r="A237" s="56" t="s">
        <v>411</v>
      </c>
      <c r="B237" s="16" t="s">
        <v>256</v>
      </c>
      <c r="C237" s="33" t="s">
        <v>266</v>
      </c>
      <c r="D237" s="58">
        <v>4158300</v>
      </c>
      <c r="E237" s="58">
        <v>0</v>
      </c>
      <c r="F237" s="110">
        <f t="shared" si="44"/>
        <v>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91"/>
      <c r="W237" s="3"/>
      <c r="X237" s="3"/>
      <c r="Y237" s="3"/>
      <c r="Z237" s="3"/>
      <c r="AC237" s="5"/>
      <c r="AD237" s="5"/>
      <c r="AE237" s="5"/>
      <c r="AF237" s="5"/>
      <c r="AG237" s="5"/>
      <c r="AH237" s="5"/>
      <c r="AI237" s="3"/>
      <c r="AJ237" s="3"/>
      <c r="AK237" s="3"/>
      <c r="AL237" s="3"/>
      <c r="AM237" s="3"/>
      <c r="AN237" s="3"/>
      <c r="AO237" s="3"/>
      <c r="AP237" s="3"/>
      <c r="AQ237" s="3"/>
      <c r="AR237" s="6"/>
      <c r="AS237" s="6"/>
      <c r="AT237" s="3"/>
      <c r="AU237" s="3"/>
      <c r="AV237" s="3"/>
      <c r="AW237" s="3"/>
      <c r="BM237" s="3"/>
      <c r="BN237" s="3"/>
    </row>
    <row r="238" spans="1:67" s="4" customFormat="1" ht="139.9" customHeight="1" x14ac:dyDescent="0.25">
      <c r="A238" s="98" t="s">
        <v>330</v>
      </c>
      <c r="B238" s="16" t="s">
        <v>249</v>
      </c>
      <c r="C238" s="33" t="s">
        <v>266</v>
      </c>
      <c r="D238" s="58">
        <v>182080400</v>
      </c>
      <c r="E238" s="58">
        <v>45520100</v>
      </c>
      <c r="F238" s="110">
        <f t="shared" si="44"/>
        <v>0.25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91"/>
      <c r="W238" s="3"/>
      <c r="X238" s="3"/>
      <c r="Y238" s="3"/>
      <c r="Z238" s="3"/>
      <c r="AC238" s="5"/>
      <c r="AD238" s="5"/>
      <c r="AE238" s="5"/>
      <c r="AF238" s="5"/>
      <c r="AG238" s="5"/>
      <c r="AH238" s="5"/>
      <c r="AI238" s="3"/>
      <c r="AJ238" s="3"/>
      <c r="AK238" s="3"/>
      <c r="AL238" s="3"/>
      <c r="AM238" s="3"/>
      <c r="AN238" s="3"/>
      <c r="AO238" s="3"/>
      <c r="AP238" s="3"/>
      <c r="AQ238" s="3"/>
      <c r="AR238" s="6"/>
      <c r="AS238" s="6"/>
      <c r="AT238" s="3"/>
      <c r="AU238" s="3"/>
      <c r="AV238" s="3"/>
      <c r="AW238" s="3"/>
      <c r="BM238" s="3"/>
      <c r="BN238" s="3"/>
    </row>
    <row r="239" spans="1:67" s="4" customFormat="1" ht="58.15" customHeight="1" x14ac:dyDescent="0.25">
      <c r="A239" s="99" t="s">
        <v>270</v>
      </c>
      <c r="B239" s="16" t="s">
        <v>271</v>
      </c>
      <c r="C239" s="33" t="s">
        <v>266</v>
      </c>
      <c r="D239" s="58">
        <v>57656800</v>
      </c>
      <c r="E239" s="58">
        <v>0</v>
      </c>
      <c r="F239" s="110">
        <f t="shared" si="44"/>
        <v>0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91"/>
      <c r="W239" s="3"/>
      <c r="X239" s="3"/>
      <c r="Y239" s="3"/>
      <c r="Z239" s="3"/>
      <c r="AC239" s="5"/>
      <c r="AD239" s="5"/>
      <c r="AE239" s="5"/>
      <c r="AF239" s="5"/>
      <c r="AG239" s="5"/>
      <c r="AH239" s="5"/>
      <c r="AI239" s="3"/>
      <c r="AJ239" s="3"/>
      <c r="AK239" s="3"/>
      <c r="AL239" s="3"/>
      <c r="AM239" s="3"/>
      <c r="AN239" s="3"/>
      <c r="AO239" s="3"/>
      <c r="AP239" s="3"/>
      <c r="AQ239" s="3"/>
      <c r="AR239" s="6"/>
      <c r="AS239" s="6"/>
      <c r="AT239" s="3"/>
      <c r="AU239" s="3"/>
      <c r="AV239" s="3"/>
      <c r="AW239" s="3"/>
      <c r="BM239" s="3"/>
      <c r="BN239" s="3"/>
    </row>
    <row r="240" spans="1:67" s="4" customFormat="1" ht="42" customHeight="1" x14ac:dyDescent="0.25">
      <c r="A240" s="101" t="s">
        <v>395</v>
      </c>
      <c r="B240" s="16" t="s">
        <v>212</v>
      </c>
      <c r="C240" s="33" t="s">
        <v>266</v>
      </c>
      <c r="D240" s="58">
        <v>11611313.800000001</v>
      </c>
      <c r="E240" s="58">
        <v>0</v>
      </c>
      <c r="F240" s="110">
        <f t="shared" si="44"/>
        <v>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91"/>
      <c r="W240" s="3"/>
      <c r="X240" s="3"/>
      <c r="Y240" s="3"/>
      <c r="Z240" s="3"/>
      <c r="AC240" s="5"/>
      <c r="AD240" s="5"/>
      <c r="AE240" s="5"/>
      <c r="AF240" s="5"/>
      <c r="AG240" s="5"/>
      <c r="AH240" s="5"/>
      <c r="AI240" s="3"/>
      <c r="AJ240" s="3"/>
      <c r="AK240" s="3"/>
      <c r="AL240" s="3"/>
      <c r="AM240" s="3"/>
      <c r="AN240" s="3"/>
      <c r="AO240" s="3"/>
      <c r="AP240" s="3"/>
      <c r="AQ240" s="3"/>
      <c r="AR240" s="6"/>
      <c r="AS240" s="6"/>
      <c r="AT240" s="3"/>
      <c r="AU240" s="3"/>
      <c r="AV240" s="3"/>
      <c r="AW240" s="3"/>
      <c r="BM240" s="3"/>
      <c r="BN240" s="3"/>
    </row>
    <row r="241" spans="1:66" s="4" customFormat="1" ht="46.15" customHeight="1" x14ac:dyDescent="0.25">
      <c r="A241" s="79" t="s">
        <v>272</v>
      </c>
      <c r="B241" s="16" t="s">
        <v>212</v>
      </c>
      <c r="C241" s="33" t="s">
        <v>266</v>
      </c>
      <c r="D241" s="58">
        <f>10000000+5000000</f>
        <v>15000000</v>
      </c>
      <c r="E241" s="58">
        <v>0</v>
      </c>
      <c r="F241" s="110">
        <f t="shared" si="44"/>
        <v>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91"/>
      <c r="W241" s="3"/>
      <c r="X241" s="3"/>
      <c r="Y241" s="3"/>
      <c r="Z241" s="3"/>
      <c r="AC241" s="5"/>
      <c r="AD241" s="5"/>
      <c r="AE241" s="5"/>
      <c r="AF241" s="5"/>
      <c r="AG241" s="5"/>
      <c r="AH241" s="5"/>
      <c r="AI241" s="3"/>
      <c r="AJ241" s="3"/>
      <c r="AK241" s="3"/>
      <c r="AL241" s="3"/>
      <c r="AM241" s="3"/>
      <c r="AN241" s="3"/>
      <c r="AO241" s="3"/>
      <c r="AP241" s="3"/>
      <c r="AQ241" s="3"/>
      <c r="AR241" s="6"/>
      <c r="AS241" s="6"/>
      <c r="AT241" s="3"/>
      <c r="AU241" s="3"/>
      <c r="AV241" s="3"/>
      <c r="AW241" s="3"/>
      <c r="BM241" s="3"/>
      <c r="BN241" s="3"/>
    </row>
    <row r="242" spans="1:66" s="4" customFormat="1" ht="131.44999999999999" customHeight="1" x14ac:dyDescent="0.25">
      <c r="A242" s="119" t="s">
        <v>495</v>
      </c>
      <c r="B242" s="16" t="s">
        <v>79</v>
      </c>
      <c r="C242" s="33" t="s">
        <v>266</v>
      </c>
      <c r="D242" s="58">
        <v>3512200</v>
      </c>
      <c r="E242" s="58">
        <v>0</v>
      </c>
      <c r="F242" s="110">
        <f t="shared" si="44"/>
        <v>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91"/>
      <c r="W242" s="3"/>
      <c r="X242" s="3"/>
      <c r="Y242" s="3"/>
      <c r="Z242" s="3"/>
      <c r="AC242" s="5"/>
      <c r="AD242" s="5"/>
      <c r="AE242" s="5"/>
      <c r="AF242" s="5"/>
      <c r="AG242" s="5"/>
      <c r="AH242" s="5"/>
      <c r="AI242" s="3"/>
      <c r="AJ242" s="3"/>
      <c r="AK242" s="3"/>
      <c r="AL242" s="3"/>
      <c r="AM242" s="3"/>
      <c r="AN242" s="3"/>
      <c r="AO242" s="3"/>
      <c r="AP242" s="3"/>
      <c r="AQ242" s="3"/>
      <c r="AR242" s="6"/>
      <c r="AS242" s="6"/>
      <c r="AT242" s="3"/>
      <c r="AU242" s="3"/>
      <c r="AV242" s="3"/>
      <c r="AW242" s="3"/>
      <c r="BM242" s="3"/>
      <c r="BN242" s="3"/>
    </row>
    <row r="243" spans="1:66" s="4" customFormat="1" ht="60" customHeight="1" x14ac:dyDescent="0.25">
      <c r="A243" s="79" t="s">
        <v>406</v>
      </c>
      <c r="B243" s="16" t="s">
        <v>79</v>
      </c>
      <c r="C243" s="33" t="s">
        <v>266</v>
      </c>
      <c r="D243" s="58">
        <v>84997600</v>
      </c>
      <c r="E243" s="58">
        <v>0</v>
      </c>
      <c r="F243" s="110">
        <f t="shared" si="44"/>
        <v>0</v>
      </c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91"/>
      <c r="W243" s="3"/>
      <c r="X243" s="3"/>
      <c r="Y243" s="3"/>
      <c r="Z243" s="3"/>
      <c r="AC243" s="5"/>
      <c r="AD243" s="5"/>
      <c r="AE243" s="5"/>
      <c r="AF243" s="5"/>
      <c r="AG243" s="5"/>
      <c r="AH243" s="5"/>
      <c r="AI243" s="3"/>
      <c r="AJ243" s="3"/>
      <c r="AK243" s="3"/>
      <c r="AL243" s="3"/>
      <c r="AM243" s="3"/>
      <c r="AN243" s="3"/>
      <c r="AO243" s="3"/>
      <c r="AP243" s="3"/>
      <c r="AQ243" s="3"/>
      <c r="AR243" s="6"/>
      <c r="AS243" s="6"/>
      <c r="AT243" s="3"/>
      <c r="AU243" s="3"/>
      <c r="AV243" s="3"/>
      <c r="AW243" s="3"/>
      <c r="BM243" s="3"/>
      <c r="BN243" s="3"/>
    </row>
    <row r="244" spans="1:66" s="4" customFormat="1" ht="18" customHeight="1" x14ac:dyDescent="0.25">
      <c r="A244" s="57" t="s">
        <v>273</v>
      </c>
      <c r="B244" s="16" t="s">
        <v>5</v>
      </c>
      <c r="C244" s="17" t="s">
        <v>274</v>
      </c>
      <c r="D244" s="58">
        <f>+D245+D260+D258</f>
        <v>1977407300</v>
      </c>
      <c r="E244" s="58">
        <f t="shared" ref="E244" si="56">+E245+E260+E258</f>
        <v>404309193.05000001</v>
      </c>
      <c r="F244" s="110">
        <f t="shared" si="44"/>
        <v>0.20446429678397568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91"/>
      <c r="W244" s="3"/>
      <c r="X244" s="3"/>
      <c r="Y244" s="3"/>
      <c r="Z244" s="3"/>
      <c r="AC244" s="5"/>
      <c r="AD244" s="5"/>
      <c r="AE244" s="5"/>
      <c r="AF244" s="5"/>
      <c r="AG244" s="5"/>
      <c r="AH244" s="5"/>
      <c r="AI244" s="3"/>
      <c r="AJ244" s="3"/>
      <c r="AK244" s="3"/>
      <c r="AL244" s="3"/>
      <c r="AM244" s="3"/>
      <c r="AN244" s="3"/>
      <c r="AO244" s="3"/>
      <c r="AP244" s="3"/>
      <c r="AQ244" s="3"/>
      <c r="AR244" s="6"/>
      <c r="AS244" s="6"/>
      <c r="AT244" s="3"/>
      <c r="AU244" s="3"/>
      <c r="AV244" s="3"/>
      <c r="AW244" s="3"/>
      <c r="BM244" s="3"/>
      <c r="BN244" s="3"/>
    </row>
    <row r="245" spans="1:66" s="4" customFormat="1" ht="30.6" customHeight="1" x14ac:dyDescent="0.25">
      <c r="A245" s="57" t="s">
        <v>275</v>
      </c>
      <c r="B245" s="16" t="s">
        <v>5</v>
      </c>
      <c r="C245" s="16" t="s">
        <v>276</v>
      </c>
      <c r="D245" s="58">
        <f>+D246</f>
        <v>28215800</v>
      </c>
      <c r="E245" s="58">
        <f>+E246</f>
        <v>7706393.0499999998</v>
      </c>
      <c r="F245" s="110">
        <f t="shared" si="44"/>
        <v>0.27312332274824741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91"/>
      <c r="W245" s="3"/>
      <c r="X245" s="3"/>
      <c r="Y245" s="3"/>
      <c r="Z245" s="3"/>
      <c r="AC245" s="5"/>
      <c r="AD245" s="5"/>
      <c r="AE245" s="5"/>
      <c r="AF245" s="5"/>
      <c r="AG245" s="5"/>
      <c r="AH245" s="5"/>
      <c r="AI245" s="3"/>
      <c r="AJ245" s="3"/>
      <c r="AK245" s="3"/>
      <c r="AL245" s="3"/>
      <c r="AM245" s="3"/>
      <c r="AN245" s="3"/>
      <c r="AO245" s="3"/>
      <c r="AP245" s="3"/>
      <c r="AQ245" s="3"/>
      <c r="AR245" s="6"/>
      <c r="AS245" s="6"/>
      <c r="AT245" s="3"/>
      <c r="AU245" s="3"/>
      <c r="AV245" s="3"/>
      <c r="AW245" s="3"/>
      <c r="BM245" s="3"/>
      <c r="BN245" s="3"/>
    </row>
    <row r="246" spans="1:66" s="42" customFormat="1" ht="30" customHeight="1" x14ac:dyDescent="0.25">
      <c r="A246" s="57" t="s">
        <v>277</v>
      </c>
      <c r="B246" s="16" t="s">
        <v>5</v>
      </c>
      <c r="C246" s="16" t="s">
        <v>278</v>
      </c>
      <c r="D246" s="58">
        <f>SUM(D247:D257)</f>
        <v>28215800</v>
      </c>
      <c r="E246" s="58">
        <f>SUM(E247:E257)</f>
        <v>7706393.0499999998</v>
      </c>
      <c r="F246" s="110">
        <f t="shared" si="44"/>
        <v>0.27312332274824741</v>
      </c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92"/>
      <c r="W246" s="41"/>
      <c r="X246" s="41"/>
      <c r="Y246" s="41"/>
      <c r="Z246" s="41"/>
      <c r="AC246" s="43"/>
      <c r="AD246" s="43"/>
      <c r="AE246" s="43"/>
      <c r="AF246" s="43"/>
      <c r="AG246" s="43"/>
      <c r="AH246" s="43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BM246" s="41"/>
      <c r="BN246" s="41"/>
    </row>
    <row r="247" spans="1:66" s="4" customFormat="1" ht="41.45" customHeight="1" x14ac:dyDescent="0.25">
      <c r="A247" s="56" t="s">
        <v>279</v>
      </c>
      <c r="B247" s="16" t="s">
        <v>256</v>
      </c>
      <c r="C247" s="16" t="s">
        <v>278</v>
      </c>
      <c r="D247" s="61">
        <f>13594600-784700</f>
        <v>12809900</v>
      </c>
      <c r="E247" s="61">
        <v>3000000</v>
      </c>
      <c r="F247" s="110">
        <f t="shared" si="44"/>
        <v>0.23419386568201156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91"/>
      <c r="W247" s="3"/>
      <c r="X247" s="3"/>
      <c r="Y247" s="3"/>
      <c r="Z247" s="3"/>
      <c r="AC247" s="5"/>
      <c r="AD247" s="5"/>
      <c r="AE247" s="5"/>
      <c r="AF247" s="5"/>
      <c r="AG247" s="5"/>
      <c r="AH247" s="5"/>
      <c r="AI247" s="3"/>
      <c r="AJ247" s="3"/>
      <c r="AK247" s="3"/>
      <c r="AL247" s="3"/>
      <c r="AM247" s="3"/>
      <c r="AN247" s="3"/>
      <c r="AO247" s="3"/>
      <c r="AP247" s="3"/>
      <c r="AQ247" s="3"/>
      <c r="AR247" s="6"/>
      <c r="AS247" s="6"/>
      <c r="AT247" s="3"/>
      <c r="AU247" s="3"/>
      <c r="AV247" s="3"/>
      <c r="AW247" s="3"/>
      <c r="BM247" s="3"/>
      <c r="BN247" s="3"/>
    </row>
    <row r="248" spans="1:66" s="4" customFormat="1" ht="82.15" customHeight="1" x14ac:dyDescent="0.25">
      <c r="A248" s="28" t="s">
        <v>323</v>
      </c>
      <c r="B248" s="16" t="s">
        <v>256</v>
      </c>
      <c r="C248" s="16" t="s">
        <v>278</v>
      </c>
      <c r="D248" s="61">
        <v>80000</v>
      </c>
      <c r="E248" s="61">
        <v>28000</v>
      </c>
      <c r="F248" s="110">
        <f t="shared" si="44"/>
        <v>0.35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91"/>
      <c r="W248" s="3"/>
      <c r="X248" s="3"/>
      <c r="Y248" s="3"/>
      <c r="Z248" s="3"/>
      <c r="AC248" s="5"/>
      <c r="AD248" s="5"/>
      <c r="AE248" s="5"/>
      <c r="AF248" s="5"/>
      <c r="AG248" s="5"/>
      <c r="AH248" s="5"/>
      <c r="AI248" s="3"/>
      <c r="AJ248" s="3"/>
      <c r="AK248" s="3"/>
      <c r="AL248" s="3"/>
      <c r="AM248" s="3"/>
      <c r="AN248" s="3"/>
      <c r="AO248" s="3"/>
      <c r="AP248" s="3"/>
      <c r="AQ248" s="3"/>
      <c r="AR248" s="6"/>
      <c r="AS248" s="6"/>
      <c r="AT248" s="3"/>
      <c r="AU248" s="3"/>
      <c r="AV248" s="3"/>
      <c r="AW248" s="3"/>
      <c r="AY248" s="125"/>
      <c r="AZ248" s="125"/>
      <c r="BA248" s="125"/>
      <c r="BB248" s="125"/>
      <c r="BC248" s="125"/>
      <c r="BD248" s="125"/>
      <c r="BM248" s="3"/>
      <c r="BN248" s="3"/>
    </row>
    <row r="249" spans="1:66" s="4" customFormat="1" ht="29.45" customHeight="1" x14ac:dyDescent="0.25">
      <c r="A249" s="100" t="s">
        <v>280</v>
      </c>
      <c r="B249" s="16" t="s">
        <v>256</v>
      </c>
      <c r="C249" s="16" t="s">
        <v>278</v>
      </c>
      <c r="D249" s="61">
        <f>3612000-853300</f>
        <v>2758700</v>
      </c>
      <c r="E249" s="61">
        <v>650000</v>
      </c>
      <c r="F249" s="110">
        <f t="shared" si="44"/>
        <v>0.23561822597600318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91"/>
      <c r="W249" s="3"/>
      <c r="X249" s="3"/>
      <c r="Y249" s="3"/>
      <c r="Z249" s="3"/>
      <c r="AC249" s="5"/>
      <c r="AD249" s="5"/>
      <c r="AE249" s="5"/>
      <c r="AF249" s="5"/>
      <c r="AG249" s="5"/>
      <c r="AH249" s="5"/>
      <c r="AI249" s="3"/>
      <c r="AJ249" s="3"/>
      <c r="AK249" s="3"/>
      <c r="AL249" s="3"/>
      <c r="AM249" s="3"/>
      <c r="AN249" s="3"/>
      <c r="AO249" s="3"/>
      <c r="AP249" s="3"/>
      <c r="AQ249" s="3"/>
      <c r="AR249" s="6"/>
      <c r="AS249" s="6"/>
      <c r="AT249" s="3"/>
      <c r="AU249" s="3"/>
      <c r="AV249" s="3"/>
      <c r="AW249" s="3"/>
      <c r="AZ249" s="126"/>
      <c r="BA249" s="126"/>
      <c r="BB249" s="126"/>
      <c r="BC249" s="126"/>
      <c r="BD249" s="126"/>
      <c r="BE249" s="126"/>
      <c r="BM249" s="3"/>
      <c r="BN249" s="3"/>
    </row>
    <row r="250" spans="1:66" s="42" customFormat="1" ht="43.9" customHeight="1" x14ac:dyDescent="0.25">
      <c r="A250" s="56" t="s">
        <v>281</v>
      </c>
      <c r="B250" s="16" t="s">
        <v>212</v>
      </c>
      <c r="C250" s="16" t="s">
        <v>278</v>
      </c>
      <c r="D250" s="58">
        <f>62200+3300</f>
        <v>65500</v>
      </c>
      <c r="E250" s="58">
        <v>16375</v>
      </c>
      <c r="F250" s="110">
        <f t="shared" si="44"/>
        <v>0.25</v>
      </c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92"/>
      <c r="W250" s="41"/>
      <c r="X250" s="41"/>
      <c r="Y250" s="41"/>
      <c r="Z250" s="41"/>
      <c r="AC250" s="43"/>
      <c r="AD250" s="43"/>
      <c r="AE250" s="43"/>
      <c r="AF250" s="43"/>
      <c r="AG250" s="43"/>
      <c r="AH250" s="43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BM250" s="41"/>
      <c r="BN250" s="41"/>
    </row>
    <row r="251" spans="1:66" s="42" customFormat="1" ht="27" customHeight="1" x14ac:dyDescent="0.25">
      <c r="A251" s="57" t="s">
        <v>282</v>
      </c>
      <c r="B251" s="16" t="s">
        <v>212</v>
      </c>
      <c r="C251" s="16" t="s">
        <v>278</v>
      </c>
      <c r="D251" s="61">
        <v>182600</v>
      </c>
      <c r="E251" s="61">
        <v>43477</v>
      </c>
      <c r="F251" s="110">
        <f t="shared" si="44"/>
        <v>0.23809967141292443</v>
      </c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92"/>
      <c r="W251" s="41"/>
      <c r="X251" s="41"/>
      <c r="Y251" s="41"/>
      <c r="Z251" s="41"/>
      <c r="AC251" s="43"/>
      <c r="AD251" s="43"/>
      <c r="AE251" s="43"/>
      <c r="AF251" s="43"/>
      <c r="AG251" s="43"/>
      <c r="AH251" s="43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  <c r="AS251" s="41"/>
      <c r="AT251" s="41"/>
      <c r="AU251" s="41"/>
      <c r="AV251" s="41"/>
      <c r="AW251" s="41"/>
      <c r="BM251" s="41"/>
      <c r="BN251" s="41"/>
    </row>
    <row r="252" spans="1:66" s="42" customFormat="1" ht="58.15" customHeight="1" x14ac:dyDescent="0.25">
      <c r="A252" s="56" t="s">
        <v>283</v>
      </c>
      <c r="B252" s="16" t="s">
        <v>212</v>
      </c>
      <c r="C252" s="16" t="s">
        <v>278</v>
      </c>
      <c r="D252" s="63">
        <v>4120800</v>
      </c>
      <c r="E252" s="63">
        <v>1109869.8700000001</v>
      </c>
      <c r="F252" s="110">
        <f t="shared" si="44"/>
        <v>0.26933359299165216</v>
      </c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92"/>
      <c r="W252" s="41"/>
      <c r="X252" s="41"/>
      <c r="Y252" s="41"/>
      <c r="Z252" s="41"/>
      <c r="AC252" s="43"/>
      <c r="AD252" s="43"/>
      <c r="AE252" s="43"/>
      <c r="AF252" s="43"/>
      <c r="AG252" s="43"/>
      <c r="AH252" s="43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BM252" s="41"/>
      <c r="BN252" s="41"/>
    </row>
    <row r="253" spans="1:66" s="4" customFormat="1" ht="57" customHeight="1" x14ac:dyDescent="0.25">
      <c r="A253" s="56" t="s">
        <v>284</v>
      </c>
      <c r="B253" s="16" t="s">
        <v>212</v>
      </c>
      <c r="C253" s="16" t="s">
        <v>278</v>
      </c>
      <c r="D253" s="61">
        <f>3257100+179300</f>
        <v>3436400</v>
      </c>
      <c r="E253" s="61">
        <v>1018575.98</v>
      </c>
      <c r="F253" s="110">
        <f t="shared" si="44"/>
        <v>0.2964078628797579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91"/>
      <c r="W253" s="3"/>
      <c r="X253" s="3"/>
      <c r="Y253" s="3"/>
      <c r="Z253" s="3"/>
      <c r="AC253" s="5"/>
      <c r="AD253" s="5"/>
      <c r="AE253" s="5"/>
      <c r="AF253" s="5"/>
      <c r="AG253" s="5"/>
      <c r="AH253" s="5"/>
      <c r="AI253" s="3"/>
      <c r="AJ253" s="3"/>
      <c r="AK253" s="3"/>
      <c r="AL253" s="3"/>
      <c r="AM253" s="3"/>
      <c r="AN253" s="3"/>
      <c r="AO253" s="3"/>
      <c r="AP253" s="3"/>
      <c r="AQ253" s="3"/>
      <c r="AR253" s="6"/>
      <c r="AS253" s="6"/>
      <c r="AT253" s="3"/>
      <c r="AU253" s="3"/>
      <c r="AV253" s="3"/>
      <c r="AW253" s="3"/>
      <c r="BM253" s="3"/>
      <c r="BN253" s="3"/>
    </row>
    <row r="254" spans="1:66" s="42" customFormat="1" ht="30.6" customHeight="1" x14ac:dyDescent="0.25">
      <c r="A254" s="57" t="s">
        <v>285</v>
      </c>
      <c r="B254" s="16" t="s">
        <v>212</v>
      </c>
      <c r="C254" s="16" t="s">
        <v>278</v>
      </c>
      <c r="D254" s="63">
        <v>1077800</v>
      </c>
      <c r="E254" s="63">
        <v>344967.87</v>
      </c>
      <c r="F254" s="110">
        <f t="shared" si="44"/>
        <v>0.32006668213026535</v>
      </c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92"/>
      <c r="W254" s="41"/>
      <c r="X254" s="41"/>
      <c r="Y254" s="41"/>
      <c r="Z254" s="41"/>
      <c r="AC254" s="43"/>
      <c r="AD254" s="43"/>
      <c r="AE254" s="43"/>
      <c r="AF254" s="43"/>
      <c r="AG254" s="43"/>
      <c r="AH254" s="43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  <c r="AS254" s="41"/>
      <c r="AT254" s="41"/>
      <c r="AU254" s="41"/>
      <c r="AV254" s="41"/>
      <c r="AW254" s="41"/>
      <c r="BM254" s="41"/>
      <c r="BN254" s="41"/>
    </row>
    <row r="255" spans="1:66" s="42" customFormat="1" ht="84.6" customHeight="1" x14ac:dyDescent="0.25">
      <c r="A255" s="57" t="s">
        <v>286</v>
      </c>
      <c r="B255" s="16" t="s">
        <v>212</v>
      </c>
      <c r="C255" s="16" t="s">
        <v>278</v>
      </c>
      <c r="D255" s="62">
        <v>700</v>
      </c>
      <c r="E255" s="62">
        <v>0</v>
      </c>
      <c r="F255" s="110">
        <f t="shared" si="44"/>
        <v>0</v>
      </c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92"/>
      <c r="W255" s="41"/>
      <c r="X255" s="41"/>
      <c r="Y255" s="41"/>
      <c r="Z255" s="41"/>
      <c r="AC255" s="43"/>
      <c r="AD255" s="43"/>
      <c r="AE255" s="43"/>
      <c r="AF255" s="43"/>
      <c r="AG255" s="43"/>
      <c r="AH255" s="43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BM255" s="41"/>
      <c r="BN255" s="41"/>
    </row>
    <row r="256" spans="1:66" s="4" customFormat="1" ht="43.9" customHeight="1" x14ac:dyDescent="0.25">
      <c r="A256" s="57" t="s">
        <v>287</v>
      </c>
      <c r="B256" s="16" t="s">
        <v>212</v>
      </c>
      <c r="C256" s="16" t="s">
        <v>278</v>
      </c>
      <c r="D256" s="61">
        <f>2154300+110400</f>
        <v>2264700</v>
      </c>
      <c r="E256" s="61">
        <v>733277.33</v>
      </c>
      <c r="F256" s="110">
        <f t="shared" si="44"/>
        <v>0.32378563606658717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91"/>
      <c r="W256" s="3"/>
      <c r="X256" s="3"/>
      <c r="Y256" s="3"/>
      <c r="Z256" s="3"/>
      <c r="AC256" s="5"/>
      <c r="AD256" s="5"/>
      <c r="AE256" s="5"/>
      <c r="AF256" s="5"/>
      <c r="AG256" s="5"/>
      <c r="AH256" s="5"/>
      <c r="AI256" s="3"/>
      <c r="AJ256" s="3"/>
      <c r="AK256" s="3"/>
      <c r="AL256" s="3"/>
      <c r="AM256" s="3"/>
      <c r="AN256" s="3"/>
      <c r="AO256" s="3"/>
      <c r="AP256" s="3"/>
      <c r="AQ256" s="3"/>
      <c r="AR256" s="6"/>
      <c r="AS256" s="6"/>
      <c r="AT256" s="3"/>
      <c r="AU256" s="3"/>
      <c r="AV256" s="3"/>
      <c r="AW256" s="3"/>
      <c r="BM256" s="3"/>
      <c r="BN256" s="3"/>
    </row>
    <row r="257" spans="1:66" s="4" customFormat="1" ht="57" customHeight="1" x14ac:dyDescent="0.25">
      <c r="A257" s="83" t="s">
        <v>310</v>
      </c>
      <c r="B257" s="16" t="s">
        <v>79</v>
      </c>
      <c r="C257" s="16" t="s">
        <v>278</v>
      </c>
      <c r="D257" s="61">
        <f>1320900+97800</f>
        <v>1418700</v>
      </c>
      <c r="E257" s="61">
        <v>761850</v>
      </c>
      <c r="F257" s="110">
        <f t="shared" si="44"/>
        <v>0.53700570945231552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91"/>
      <c r="W257" s="3"/>
      <c r="X257" s="3"/>
      <c r="Y257" s="3"/>
      <c r="Z257" s="3"/>
      <c r="AC257" s="5"/>
      <c r="AD257" s="5"/>
      <c r="AE257" s="5"/>
      <c r="AF257" s="5"/>
      <c r="AG257" s="5"/>
      <c r="AH257" s="5"/>
      <c r="AI257" s="3"/>
      <c r="AJ257" s="3"/>
      <c r="AK257" s="3"/>
      <c r="AL257" s="3"/>
      <c r="AM257" s="3"/>
      <c r="AN257" s="3"/>
      <c r="AO257" s="3"/>
      <c r="AP257" s="3"/>
      <c r="AQ257" s="3"/>
      <c r="AR257" s="6"/>
      <c r="AS257" s="6"/>
      <c r="AT257" s="3"/>
      <c r="AU257" s="3"/>
      <c r="AV257" s="3"/>
      <c r="AW257" s="3"/>
      <c r="AY257" s="127"/>
      <c r="AZ257" s="127"/>
      <c r="BA257" s="127"/>
      <c r="BB257" s="127"/>
      <c r="BC257" s="127"/>
      <c r="BD257" s="127"/>
      <c r="BM257" s="3"/>
      <c r="BN257" s="3"/>
    </row>
    <row r="258" spans="1:66" s="4" customFormat="1" ht="56.45" customHeight="1" x14ac:dyDescent="0.25">
      <c r="A258" s="57" t="s">
        <v>344</v>
      </c>
      <c r="B258" s="16" t="s">
        <v>5</v>
      </c>
      <c r="C258" s="37" t="s">
        <v>288</v>
      </c>
      <c r="D258" s="61">
        <f>+D259</f>
        <v>1300</v>
      </c>
      <c r="E258" s="61">
        <f>+E259</f>
        <v>1300</v>
      </c>
      <c r="F258" s="110">
        <f t="shared" si="44"/>
        <v>1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91"/>
      <c r="W258" s="3"/>
      <c r="X258" s="3"/>
      <c r="Y258" s="3"/>
      <c r="Z258" s="3"/>
      <c r="AC258" s="5"/>
      <c r="AD258" s="5"/>
      <c r="AE258" s="5"/>
      <c r="AF258" s="5"/>
      <c r="AG258" s="5"/>
      <c r="AH258" s="5"/>
      <c r="AI258" s="3"/>
      <c r="AJ258" s="3"/>
      <c r="AK258" s="3"/>
      <c r="AL258" s="3"/>
      <c r="AM258" s="3"/>
      <c r="AN258" s="3"/>
      <c r="AO258" s="3"/>
      <c r="AP258" s="3"/>
      <c r="AQ258" s="3"/>
      <c r="AR258" s="6"/>
      <c r="AS258" s="6"/>
      <c r="AT258" s="3"/>
      <c r="AU258" s="3"/>
      <c r="AV258" s="3"/>
      <c r="AW258" s="3"/>
      <c r="BM258" s="3"/>
      <c r="BN258" s="3"/>
    </row>
    <row r="259" spans="1:66" s="4" customFormat="1" ht="53.45" customHeight="1" x14ac:dyDescent="0.25">
      <c r="A259" s="57" t="s">
        <v>289</v>
      </c>
      <c r="B259" s="16" t="s">
        <v>212</v>
      </c>
      <c r="C259" s="37" t="s">
        <v>290</v>
      </c>
      <c r="D259" s="61">
        <v>1300</v>
      </c>
      <c r="E259" s="61">
        <v>1300</v>
      </c>
      <c r="F259" s="110">
        <f t="shared" si="44"/>
        <v>1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91"/>
      <c r="W259" s="3"/>
      <c r="X259" s="3"/>
      <c r="Y259" s="3"/>
      <c r="Z259" s="3"/>
      <c r="AC259" s="5"/>
      <c r="AD259" s="5"/>
      <c r="AE259" s="5"/>
      <c r="AF259" s="5"/>
      <c r="AG259" s="5"/>
      <c r="AH259" s="5"/>
      <c r="AI259" s="3"/>
      <c r="AJ259" s="3"/>
      <c r="AK259" s="3"/>
      <c r="AL259" s="3"/>
      <c r="AM259" s="3"/>
      <c r="AN259" s="3"/>
      <c r="AO259" s="3"/>
      <c r="AP259" s="3"/>
      <c r="AQ259" s="3"/>
      <c r="AR259" s="6"/>
      <c r="AS259" s="6"/>
      <c r="AT259" s="3"/>
      <c r="AU259" s="3"/>
      <c r="AV259" s="3"/>
      <c r="AW259" s="3"/>
      <c r="BM259" s="3"/>
      <c r="BN259" s="3"/>
    </row>
    <row r="260" spans="1:66" s="4" customFormat="1" ht="18" customHeight="1" x14ac:dyDescent="0.25">
      <c r="A260" s="57" t="s">
        <v>291</v>
      </c>
      <c r="B260" s="16" t="s">
        <v>5</v>
      </c>
      <c r="C260" s="17" t="s">
        <v>292</v>
      </c>
      <c r="D260" s="58">
        <f>+D261</f>
        <v>1949190200</v>
      </c>
      <c r="E260" s="58">
        <f>+E261</f>
        <v>396601500</v>
      </c>
      <c r="F260" s="110">
        <f t="shared" si="44"/>
        <v>0.20346988200535793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91"/>
      <c r="W260" s="3"/>
      <c r="X260" s="3"/>
      <c r="Y260" s="3"/>
      <c r="Z260" s="3"/>
      <c r="AC260" s="5"/>
      <c r="AD260" s="5"/>
      <c r="AE260" s="5"/>
      <c r="AF260" s="5"/>
      <c r="AG260" s="5"/>
      <c r="AH260" s="5"/>
      <c r="AI260" s="3"/>
      <c r="AJ260" s="3"/>
      <c r="AK260" s="3"/>
      <c r="AL260" s="3"/>
      <c r="AM260" s="3"/>
      <c r="AN260" s="3"/>
      <c r="AO260" s="3"/>
      <c r="AP260" s="3"/>
      <c r="AQ260" s="3"/>
      <c r="AR260" s="6"/>
      <c r="AS260" s="6"/>
      <c r="AT260" s="3"/>
      <c r="AU260" s="3"/>
      <c r="AV260" s="3"/>
      <c r="AW260" s="3"/>
      <c r="BM260" s="3"/>
      <c r="BN260" s="3"/>
    </row>
    <row r="261" spans="1:66" s="4" customFormat="1" ht="19.149999999999999" customHeight="1" x14ac:dyDescent="0.25">
      <c r="A261" s="57" t="s">
        <v>293</v>
      </c>
      <c r="B261" s="16" t="s">
        <v>5</v>
      </c>
      <c r="C261" s="17" t="s">
        <v>294</v>
      </c>
      <c r="D261" s="58">
        <f t="shared" ref="D261:E261" si="57">+D262+D263</f>
        <v>1949190200</v>
      </c>
      <c r="E261" s="58">
        <f t="shared" si="57"/>
        <v>396601500</v>
      </c>
      <c r="F261" s="110">
        <f t="shared" si="44"/>
        <v>0.20346988200535793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91"/>
      <c r="W261" s="3"/>
      <c r="X261" s="3"/>
      <c r="Y261" s="3"/>
      <c r="Z261" s="3"/>
      <c r="AC261" s="5"/>
      <c r="AD261" s="5"/>
      <c r="AE261" s="5"/>
      <c r="AF261" s="5"/>
      <c r="AG261" s="5"/>
      <c r="AH261" s="5"/>
      <c r="AI261" s="3"/>
      <c r="AJ261" s="3"/>
      <c r="AK261" s="3"/>
      <c r="AL261" s="3"/>
      <c r="AM261" s="3"/>
      <c r="AN261" s="3"/>
      <c r="AO261" s="3"/>
      <c r="AP261" s="3"/>
      <c r="AQ261" s="3"/>
      <c r="AR261" s="6"/>
      <c r="AS261" s="6"/>
      <c r="AT261" s="3"/>
      <c r="AU261" s="3"/>
      <c r="AV261" s="3"/>
      <c r="AW261" s="3"/>
      <c r="BM261" s="3"/>
      <c r="BN261" s="3"/>
    </row>
    <row r="262" spans="1:66" s="4" customFormat="1" ht="79.150000000000006" customHeight="1" x14ac:dyDescent="0.25">
      <c r="A262" s="56" t="s">
        <v>295</v>
      </c>
      <c r="B262" s="16" t="s">
        <v>256</v>
      </c>
      <c r="C262" s="17" t="s">
        <v>296</v>
      </c>
      <c r="D262" s="59">
        <v>929178000</v>
      </c>
      <c r="E262" s="120">
        <v>190785500</v>
      </c>
      <c r="F262" s="110">
        <f t="shared" si="44"/>
        <v>0.20532718165948827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91"/>
      <c r="W262" s="3"/>
      <c r="X262" s="3"/>
      <c r="Y262" s="3"/>
      <c r="Z262" s="3"/>
      <c r="AC262" s="5"/>
      <c r="AD262" s="5"/>
      <c r="AE262" s="5"/>
      <c r="AF262" s="5"/>
      <c r="AG262" s="5"/>
      <c r="AH262" s="5"/>
      <c r="AI262" s="3"/>
      <c r="AJ262" s="3"/>
      <c r="AK262" s="3"/>
      <c r="AL262" s="3"/>
      <c r="AM262" s="3"/>
      <c r="AN262" s="3"/>
      <c r="AO262" s="3"/>
      <c r="AP262" s="3"/>
      <c r="AQ262" s="3"/>
      <c r="AR262" s="6"/>
      <c r="AS262" s="6"/>
      <c r="AT262" s="3"/>
      <c r="AU262" s="3"/>
      <c r="AV262" s="3"/>
      <c r="AW262" s="3"/>
      <c r="BM262" s="3"/>
      <c r="BN262" s="3"/>
    </row>
    <row r="263" spans="1:66" s="4" customFormat="1" ht="57" customHeight="1" x14ac:dyDescent="0.25">
      <c r="A263" s="56" t="s">
        <v>297</v>
      </c>
      <c r="B263" s="16" t="s">
        <v>256</v>
      </c>
      <c r="C263" s="17" t="s">
        <v>294</v>
      </c>
      <c r="D263" s="59">
        <v>1020012200</v>
      </c>
      <c r="E263" s="120">
        <v>205816000</v>
      </c>
      <c r="F263" s="110">
        <f t="shared" si="44"/>
        <v>0.20177797873397985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91"/>
      <c r="W263" s="3"/>
      <c r="X263" s="3"/>
      <c r="Y263" s="3"/>
      <c r="Z263" s="3"/>
      <c r="AC263" s="5"/>
      <c r="AD263" s="5"/>
      <c r="AE263" s="5"/>
      <c r="AF263" s="5"/>
      <c r="AG263" s="5"/>
      <c r="AH263" s="5"/>
      <c r="AI263" s="3"/>
      <c r="AJ263" s="3"/>
      <c r="AK263" s="3"/>
      <c r="AL263" s="3"/>
      <c r="AM263" s="3"/>
      <c r="AN263" s="3"/>
      <c r="AO263" s="3"/>
      <c r="AP263" s="3"/>
      <c r="AQ263" s="3"/>
      <c r="AR263" s="6"/>
      <c r="AS263" s="6"/>
      <c r="AT263" s="3"/>
      <c r="AU263" s="3"/>
      <c r="AV263" s="3"/>
      <c r="AW263" s="3"/>
      <c r="BM263" s="3"/>
      <c r="BN263" s="3"/>
    </row>
    <row r="264" spans="1:66" s="4" customFormat="1" ht="16.899999999999999" customHeight="1" x14ac:dyDescent="0.25">
      <c r="A264" s="56" t="s">
        <v>412</v>
      </c>
      <c r="B264" s="16" t="s">
        <v>5</v>
      </c>
      <c r="C264" s="17" t="s">
        <v>413</v>
      </c>
      <c r="D264" s="59">
        <f>+D265+D267</f>
        <v>61357800</v>
      </c>
      <c r="E264" s="59">
        <f t="shared" ref="E264" si="58">+E265+E267</f>
        <v>10288137.4</v>
      </c>
      <c r="F264" s="110">
        <f t="shared" ref="F264:F281" si="59">+E264/D264</f>
        <v>0.16767448311380134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91"/>
      <c r="W264" s="3"/>
      <c r="X264" s="3"/>
      <c r="Y264" s="3"/>
      <c r="Z264" s="3"/>
      <c r="AC264" s="5"/>
      <c r="AD264" s="5"/>
      <c r="AE264" s="5"/>
      <c r="AF264" s="5"/>
      <c r="AG264" s="5"/>
      <c r="AH264" s="5"/>
      <c r="AI264" s="3"/>
      <c r="AJ264" s="3"/>
      <c r="AK264" s="3"/>
      <c r="AL264" s="3"/>
      <c r="AM264" s="3"/>
      <c r="AN264" s="3"/>
      <c r="AO264" s="3"/>
      <c r="AP264" s="3"/>
      <c r="AQ264" s="3"/>
      <c r="AR264" s="6"/>
      <c r="AS264" s="6"/>
      <c r="AT264" s="3"/>
      <c r="AU264" s="3"/>
      <c r="AV264" s="3"/>
      <c r="AW264" s="3"/>
      <c r="BM264" s="3"/>
      <c r="BN264" s="3"/>
    </row>
    <row r="265" spans="1:66" s="4" customFormat="1" ht="68.45" customHeight="1" x14ac:dyDescent="0.25">
      <c r="A265" s="56" t="s">
        <v>419</v>
      </c>
      <c r="B265" s="16" t="s">
        <v>5</v>
      </c>
      <c r="C265" s="93" t="s">
        <v>415</v>
      </c>
      <c r="D265" s="59">
        <f>+D266</f>
        <v>5673900</v>
      </c>
      <c r="E265" s="59">
        <f t="shared" ref="E265" si="60">+E266</f>
        <v>1045437.4</v>
      </c>
      <c r="F265" s="110">
        <f t="shared" si="59"/>
        <v>0.18425375843775887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91"/>
      <c r="W265" s="3"/>
      <c r="X265" s="3"/>
      <c r="Y265" s="3"/>
      <c r="Z265" s="3"/>
      <c r="AC265" s="5"/>
      <c r="AD265" s="5"/>
      <c r="AE265" s="5"/>
      <c r="AF265" s="5"/>
      <c r="AG265" s="5"/>
      <c r="AH265" s="5"/>
      <c r="AI265" s="3"/>
      <c r="AJ265" s="3"/>
      <c r="AK265" s="3"/>
      <c r="AL265" s="3"/>
      <c r="AM265" s="3"/>
      <c r="AN265" s="3"/>
      <c r="AO265" s="3"/>
      <c r="AP265" s="3"/>
      <c r="AQ265" s="3"/>
      <c r="AR265" s="6"/>
      <c r="AS265" s="6"/>
      <c r="AT265" s="3"/>
      <c r="AU265" s="3"/>
      <c r="AV265" s="3"/>
      <c r="AW265" s="3"/>
      <c r="BM265" s="3"/>
      <c r="BN265" s="3"/>
    </row>
    <row r="266" spans="1:66" s="4" customFormat="1" ht="69.599999999999994" customHeight="1" x14ac:dyDescent="0.25">
      <c r="A266" s="56" t="s">
        <v>414</v>
      </c>
      <c r="B266" s="16" t="s">
        <v>256</v>
      </c>
      <c r="C266" s="93" t="s">
        <v>416</v>
      </c>
      <c r="D266" s="59">
        <v>5673900</v>
      </c>
      <c r="E266" s="59">
        <v>1045437.4</v>
      </c>
      <c r="F266" s="110">
        <f t="shared" si="59"/>
        <v>0.18425375843775887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91"/>
      <c r="W266" s="3"/>
      <c r="X266" s="3"/>
      <c r="Y266" s="3"/>
      <c r="Z266" s="3"/>
      <c r="AC266" s="5"/>
      <c r="AD266" s="5"/>
      <c r="AE266" s="5"/>
      <c r="AF266" s="5"/>
      <c r="AG266" s="5"/>
      <c r="AH266" s="5"/>
      <c r="AI266" s="3"/>
      <c r="AJ266" s="3"/>
      <c r="AK266" s="3"/>
      <c r="AL266" s="3"/>
      <c r="AM266" s="3"/>
      <c r="AN266" s="3"/>
      <c r="AO266" s="3"/>
      <c r="AP266" s="3"/>
      <c r="AQ266" s="3"/>
      <c r="AR266" s="6"/>
      <c r="AS266" s="6"/>
      <c r="AT266" s="3"/>
      <c r="AU266" s="3"/>
      <c r="AV266" s="3"/>
      <c r="AW266" s="3"/>
      <c r="BM266" s="3"/>
      <c r="BN266" s="3"/>
    </row>
    <row r="267" spans="1:66" s="4" customFormat="1" ht="98.45" customHeight="1" x14ac:dyDescent="0.25">
      <c r="A267" s="57" t="s">
        <v>421</v>
      </c>
      <c r="B267" s="16" t="s">
        <v>5</v>
      </c>
      <c r="C267" s="17" t="s">
        <v>417</v>
      </c>
      <c r="D267" s="59">
        <f>+D268</f>
        <v>55683900</v>
      </c>
      <c r="E267" s="59">
        <f t="shared" ref="E267" si="61">+E268</f>
        <v>9242700</v>
      </c>
      <c r="F267" s="110">
        <f t="shared" si="59"/>
        <v>0.16598514112696847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91"/>
      <c r="W267" s="3"/>
      <c r="X267" s="3"/>
      <c r="Y267" s="3"/>
      <c r="Z267" s="3"/>
      <c r="AC267" s="5"/>
      <c r="AD267" s="5"/>
      <c r="AE267" s="5"/>
      <c r="AF267" s="5"/>
      <c r="AG267" s="5"/>
      <c r="AH267" s="5"/>
      <c r="AI267" s="3"/>
      <c r="AJ267" s="3"/>
      <c r="AK267" s="3"/>
      <c r="AL267" s="3"/>
      <c r="AM267" s="3"/>
      <c r="AN267" s="3"/>
      <c r="AO267" s="3"/>
      <c r="AP267" s="3"/>
      <c r="AQ267" s="3"/>
      <c r="AR267" s="6"/>
      <c r="AS267" s="6"/>
      <c r="AT267" s="3"/>
      <c r="AU267" s="3"/>
      <c r="AV267" s="3"/>
      <c r="AW267" s="3"/>
      <c r="BM267" s="3"/>
      <c r="BN267" s="3"/>
    </row>
    <row r="268" spans="1:66" s="4" customFormat="1" ht="99.6" customHeight="1" x14ac:dyDescent="0.25">
      <c r="A268" s="57" t="s">
        <v>420</v>
      </c>
      <c r="B268" s="16" t="s">
        <v>256</v>
      </c>
      <c r="C268" s="17" t="s">
        <v>418</v>
      </c>
      <c r="D268" s="59">
        <v>55683900</v>
      </c>
      <c r="E268" s="59">
        <v>9242700</v>
      </c>
      <c r="F268" s="110">
        <f t="shared" si="59"/>
        <v>0.16598514112696847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91"/>
      <c r="W268" s="3"/>
      <c r="X268" s="3"/>
      <c r="Y268" s="3"/>
      <c r="Z268" s="3"/>
      <c r="AC268" s="5"/>
      <c r="AD268" s="5"/>
      <c r="AE268" s="5"/>
      <c r="AF268" s="5"/>
      <c r="AG268" s="5"/>
      <c r="AH268" s="5"/>
      <c r="AI268" s="3"/>
      <c r="AJ268" s="3"/>
      <c r="AK268" s="3"/>
      <c r="AL268" s="3"/>
      <c r="AM268" s="3"/>
      <c r="AN268" s="3"/>
      <c r="AO268" s="3"/>
      <c r="AP268" s="3"/>
      <c r="AQ268" s="3"/>
      <c r="AR268" s="6"/>
      <c r="AS268" s="6"/>
      <c r="AT268" s="3"/>
      <c r="AU268" s="3"/>
      <c r="AV268" s="3"/>
      <c r="AW268" s="3"/>
      <c r="BM268" s="3"/>
      <c r="BN268" s="3"/>
    </row>
    <row r="269" spans="1:66" s="4" customFormat="1" ht="46.9" customHeight="1" x14ac:dyDescent="0.25">
      <c r="A269" s="84" t="s">
        <v>372</v>
      </c>
      <c r="B269" s="16" t="s">
        <v>5</v>
      </c>
      <c r="C269" s="85" t="s">
        <v>373</v>
      </c>
      <c r="D269" s="59">
        <f>+D270</f>
        <v>315300.68</v>
      </c>
      <c r="E269" s="59">
        <f t="shared" ref="E269" si="62">+E270</f>
        <v>321828.26999999996</v>
      </c>
      <c r="F269" s="110">
        <f t="shared" si="59"/>
        <v>1.0207027463435854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91"/>
      <c r="W269" s="3"/>
      <c r="X269" s="3"/>
      <c r="Y269" s="3"/>
      <c r="Z269" s="3"/>
      <c r="AC269" s="5"/>
      <c r="AD269" s="5"/>
      <c r="AE269" s="5"/>
      <c r="AF269" s="5"/>
      <c r="AG269" s="5"/>
      <c r="AH269" s="5"/>
      <c r="AI269" s="3"/>
      <c r="AJ269" s="3"/>
      <c r="AK269" s="3"/>
      <c r="AL269" s="3"/>
      <c r="AM269" s="3"/>
      <c r="AN269" s="3"/>
      <c r="AO269" s="3"/>
      <c r="AP269" s="3"/>
      <c r="AQ269" s="3"/>
      <c r="AR269" s="6"/>
      <c r="AS269" s="6"/>
      <c r="AT269" s="3"/>
      <c r="AU269" s="3"/>
      <c r="AV269" s="3"/>
      <c r="AW269" s="3"/>
      <c r="BM269" s="3"/>
      <c r="BN269" s="3"/>
    </row>
    <row r="270" spans="1:66" s="4" customFormat="1" ht="69" customHeight="1" x14ac:dyDescent="0.25">
      <c r="A270" s="84" t="s">
        <v>374</v>
      </c>
      <c r="B270" s="16" t="s">
        <v>5</v>
      </c>
      <c r="C270" s="85" t="s">
        <v>375</v>
      </c>
      <c r="D270" s="59">
        <f>+D271</f>
        <v>315300.68</v>
      </c>
      <c r="E270" s="59">
        <f t="shared" ref="E270" si="63">+E271</f>
        <v>321828.26999999996</v>
      </c>
      <c r="F270" s="110">
        <f t="shared" si="59"/>
        <v>1.0207027463435854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91"/>
      <c r="W270" s="3"/>
      <c r="X270" s="3"/>
      <c r="Y270" s="3"/>
      <c r="Z270" s="3"/>
      <c r="AC270" s="5"/>
      <c r="AD270" s="5"/>
      <c r="AE270" s="5"/>
      <c r="AF270" s="5"/>
      <c r="AG270" s="5"/>
      <c r="AH270" s="5"/>
      <c r="AI270" s="3"/>
      <c r="AJ270" s="3"/>
      <c r="AK270" s="3"/>
      <c r="AL270" s="3"/>
      <c r="AM270" s="3"/>
      <c r="AN270" s="3"/>
      <c r="AO270" s="3"/>
      <c r="AP270" s="3"/>
      <c r="AQ270" s="3"/>
      <c r="AR270" s="6"/>
      <c r="AS270" s="6"/>
      <c r="AT270" s="3"/>
      <c r="AU270" s="3"/>
      <c r="AV270" s="3"/>
      <c r="AW270" s="3"/>
      <c r="BM270" s="3"/>
      <c r="BN270" s="3"/>
    </row>
    <row r="271" spans="1:66" s="4" customFormat="1" ht="70.150000000000006" customHeight="1" x14ac:dyDescent="0.25">
      <c r="A271" s="84" t="s">
        <v>376</v>
      </c>
      <c r="B271" s="16" t="s">
        <v>5</v>
      </c>
      <c r="C271" s="85" t="s">
        <v>377</v>
      </c>
      <c r="D271" s="59">
        <f>+D272</f>
        <v>315300.68</v>
      </c>
      <c r="E271" s="59">
        <f t="shared" ref="E271" si="64">+E272</f>
        <v>321828.26999999996</v>
      </c>
      <c r="F271" s="110">
        <f t="shared" si="59"/>
        <v>1.0207027463435854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91"/>
      <c r="W271" s="3"/>
      <c r="X271" s="3"/>
      <c r="Y271" s="3"/>
      <c r="Z271" s="3"/>
      <c r="AC271" s="5"/>
      <c r="AD271" s="5"/>
      <c r="AE271" s="5"/>
      <c r="AF271" s="5"/>
      <c r="AG271" s="5"/>
      <c r="AH271" s="5"/>
      <c r="AI271" s="3"/>
      <c r="AJ271" s="3"/>
      <c r="AK271" s="3"/>
      <c r="AL271" s="3"/>
      <c r="AM271" s="3"/>
      <c r="AN271" s="3"/>
      <c r="AO271" s="3"/>
      <c r="AP271" s="3"/>
      <c r="AQ271" s="3"/>
      <c r="AR271" s="6"/>
      <c r="AS271" s="6"/>
      <c r="AT271" s="3"/>
      <c r="AU271" s="3"/>
      <c r="AV271" s="3"/>
      <c r="AW271" s="3"/>
      <c r="BM271" s="3"/>
      <c r="BN271" s="3"/>
    </row>
    <row r="272" spans="1:66" s="4" customFormat="1" ht="28.15" customHeight="1" x14ac:dyDescent="0.25">
      <c r="A272" s="84" t="s">
        <v>378</v>
      </c>
      <c r="B272" s="16" t="s">
        <v>5</v>
      </c>
      <c r="C272" s="85" t="s">
        <v>379</v>
      </c>
      <c r="D272" s="59">
        <f>+D273+D274+D275</f>
        <v>315300.68</v>
      </c>
      <c r="E272" s="59">
        <f t="shared" ref="E272" si="65">+E273+E274+E275</f>
        <v>321828.26999999996</v>
      </c>
      <c r="F272" s="110">
        <f t="shared" si="59"/>
        <v>1.0207027463435854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91"/>
      <c r="W272" s="3"/>
      <c r="X272" s="3"/>
      <c r="Y272" s="3"/>
      <c r="Z272" s="3"/>
      <c r="AC272" s="5"/>
      <c r="AD272" s="5"/>
      <c r="AE272" s="5"/>
      <c r="AF272" s="5"/>
      <c r="AG272" s="5"/>
      <c r="AH272" s="5"/>
      <c r="AI272" s="3"/>
      <c r="AJ272" s="3"/>
      <c r="AK272" s="3"/>
      <c r="AL272" s="3"/>
      <c r="AM272" s="3"/>
      <c r="AN272" s="3"/>
      <c r="AO272" s="3"/>
      <c r="AP272" s="3"/>
      <c r="AQ272" s="3"/>
      <c r="AR272" s="6"/>
      <c r="AS272" s="6"/>
      <c r="AT272" s="3"/>
      <c r="AU272" s="3"/>
      <c r="AV272" s="3"/>
      <c r="AW272" s="3"/>
      <c r="BM272" s="3"/>
      <c r="BN272" s="3"/>
    </row>
    <row r="273" spans="1:66" s="4" customFormat="1" ht="33" customHeight="1" x14ac:dyDescent="0.25">
      <c r="A273" s="94" t="s">
        <v>424</v>
      </c>
      <c r="B273" s="16" t="s">
        <v>256</v>
      </c>
      <c r="C273" s="85" t="s">
        <v>425</v>
      </c>
      <c r="D273" s="59">
        <f>9938+9885.2+61859.3</f>
        <v>81682.5</v>
      </c>
      <c r="E273" s="118">
        <v>88093.75</v>
      </c>
      <c r="F273" s="110">
        <f t="shared" si="59"/>
        <v>1.0784898846142075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91"/>
      <c r="W273" s="3"/>
      <c r="X273" s="3"/>
      <c r="Y273" s="3"/>
      <c r="Z273" s="3"/>
      <c r="AC273" s="5"/>
      <c r="AD273" s="5"/>
      <c r="AE273" s="5"/>
      <c r="AF273" s="5"/>
      <c r="AG273" s="5"/>
      <c r="AH273" s="5"/>
      <c r="AI273" s="3"/>
      <c r="AJ273" s="3"/>
      <c r="AK273" s="3"/>
      <c r="AL273" s="3"/>
      <c r="AM273" s="3"/>
      <c r="AN273" s="3"/>
      <c r="AO273" s="3"/>
      <c r="AP273" s="3"/>
      <c r="AQ273" s="3"/>
      <c r="AR273" s="6"/>
      <c r="AS273" s="6"/>
      <c r="AT273" s="3"/>
      <c r="AU273" s="3"/>
      <c r="AV273" s="3"/>
      <c r="AW273" s="3"/>
      <c r="BM273" s="3"/>
      <c r="BN273" s="3"/>
    </row>
    <row r="274" spans="1:66" s="4" customFormat="1" ht="28.9" customHeight="1" x14ac:dyDescent="0.25">
      <c r="A274" s="84" t="s">
        <v>381</v>
      </c>
      <c r="B274" s="16" t="s">
        <v>271</v>
      </c>
      <c r="C274" s="85" t="s">
        <v>380</v>
      </c>
      <c r="D274" s="59">
        <f>60781.97+167772.58</f>
        <v>228554.55</v>
      </c>
      <c r="E274" s="118">
        <v>228554.55</v>
      </c>
      <c r="F274" s="110">
        <f t="shared" si="59"/>
        <v>1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91"/>
      <c r="W274" s="3"/>
      <c r="X274" s="3"/>
      <c r="Y274" s="3"/>
      <c r="Z274" s="3"/>
      <c r="AC274" s="5"/>
      <c r="AD274" s="5"/>
      <c r="AE274" s="5"/>
      <c r="AF274" s="5"/>
      <c r="AG274" s="5"/>
      <c r="AH274" s="5"/>
      <c r="AI274" s="3"/>
      <c r="AJ274" s="3"/>
      <c r="AK274" s="3"/>
      <c r="AL274" s="3"/>
      <c r="AM274" s="3"/>
      <c r="AN274" s="3"/>
      <c r="AO274" s="3"/>
      <c r="AP274" s="3"/>
      <c r="AQ274" s="3"/>
      <c r="AR274" s="6"/>
      <c r="AS274" s="6"/>
      <c r="AT274" s="3"/>
      <c r="AU274" s="3"/>
      <c r="AV274" s="3"/>
      <c r="AW274" s="3"/>
      <c r="BM274" s="3"/>
      <c r="BN274" s="3"/>
    </row>
    <row r="275" spans="1:66" s="4" customFormat="1" ht="30.6" customHeight="1" x14ac:dyDescent="0.25">
      <c r="A275" s="84" t="s">
        <v>381</v>
      </c>
      <c r="B275" s="16" t="s">
        <v>212</v>
      </c>
      <c r="C275" s="85" t="s">
        <v>380</v>
      </c>
      <c r="D275" s="59">
        <f>5000+63.63</f>
        <v>5063.63</v>
      </c>
      <c r="E275" s="118">
        <v>5179.97</v>
      </c>
      <c r="F275" s="110">
        <f t="shared" si="59"/>
        <v>1.022975612357143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91"/>
      <c r="W275" s="3"/>
      <c r="X275" s="3"/>
      <c r="Y275" s="3"/>
      <c r="Z275" s="3"/>
      <c r="AC275" s="5"/>
      <c r="AD275" s="5"/>
      <c r="AE275" s="5"/>
      <c r="AF275" s="5"/>
      <c r="AG275" s="5"/>
      <c r="AH275" s="5"/>
      <c r="AI275" s="3"/>
      <c r="AJ275" s="3"/>
      <c r="AK275" s="3"/>
      <c r="AL275" s="3"/>
      <c r="AM275" s="3"/>
      <c r="AN275" s="3"/>
      <c r="AO275" s="3"/>
      <c r="AP275" s="3"/>
      <c r="AQ275" s="3"/>
      <c r="AR275" s="6"/>
      <c r="AS275" s="6"/>
      <c r="AT275" s="3"/>
      <c r="AU275" s="3"/>
      <c r="AV275" s="3"/>
      <c r="AW275" s="3"/>
      <c r="BM275" s="3"/>
      <c r="BN275" s="3"/>
    </row>
    <row r="276" spans="1:66" s="4" customFormat="1" ht="36" customHeight="1" x14ac:dyDescent="0.25">
      <c r="A276" s="79" t="s">
        <v>382</v>
      </c>
      <c r="B276" s="16" t="s">
        <v>5</v>
      </c>
      <c r="C276" s="86" t="s">
        <v>383</v>
      </c>
      <c r="D276" s="59">
        <f>+D277</f>
        <v>-332593.75</v>
      </c>
      <c r="E276" s="59">
        <f t="shared" ref="E276" si="66">+E277</f>
        <v>-332710.08999999997</v>
      </c>
      <c r="F276" s="110">
        <f t="shared" si="59"/>
        <v>1.0003497961101193</v>
      </c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91"/>
      <c r="W276" s="3"/>
      <c r="X276" s="3"/>
      <c r="Y276" s="3"/>
      <c r="Z276" s="3"/>
      <c r="AC276" s="5"/>
      <c r="AD276" s="5"/>
      <c r="AE276" s="5"/>
      <c r="AF276" s="5"/>
      <c r="AG276" s="5"/>
      <c r="AH276" s="5"/>
      <c r="AI276" s="3"/>
      <c r="AJ276" s="3"/>
      <c r="AK276" s="3"/>
      <c r="AL276" s="3"/>
      <c r="AM276" s="3"/>
      <c r="AN276" s="3"/>
      <c r="AO276" s="3"/>
      <c r="AP276" s="3"/>
      <c r="AQ276" s="3"/>
      <c r="AR276" s="6"/>
      <c r="AS276" s="6"/>
      <c r="AT276" s="3"/>
      <c r="AU276" s="3"/>
      <c r="AV276" s="3"/>
      <c r="AW276" s="3"/>
      <c r="BM276" s="3"/>
      <c r="BN276" s="3"/>
    </row>
    <row r="277" spans="1:66" s="4" customFormat="1" ht="43.9" customHeight="1" x14ac:dyDescent="0.25">
      <c r="A277" s="79" t="s">
        <v>384</v>
      </c>
      <c r="B277" s="16" t="s">
        <v>5</v>
      </c>
      <c r="C277" s="86" t="s">
        <v>385</v>
      </c>
      <c r="D277" s="59">
        <f>+D278+D279+D280</f>
        <v>-332593.75</v>
      </c>
      <c r="E277" s="59">
        <f t="shared" ref="E277" si="67">+E278+E279+E280</f>
        <v>-332710.08999999997</v>
      </c>
      <c r="F277" s="110">
        <f t="shared" si="59"/>
        <v>1.0003497961101193</v>
      </c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91"/>
      <c r="W277" s="3"/>
      <c r="X277" s="3"/>
      <c r="Y277" s="3"/>
      <c r="Z277" s="3"/>
      <c r="AC277" s="5"/>
      <c r="AD277" s="5"/>
      <c r="AE277" s="5"/>
      <c r="AF277" s="5"/>
      <c r="AG277" s="5"/>
      <c r="AH277" s="5"/>
      <c r="AI277" s="3"/>
      <c r="AJ277" s="3"/>
      <c r="AK277" s="3"/>
      <c r="AL277" s="3"/>
      <c r="AM277" s="3"/>
      <c r="AN277" s="3"/>
      <c r="AO277" s="3"/>
      <c r="AP277" s="3"/>
      <c r="AQ277" s="3"/>
      <c r="AR277" s="6"/>
      <c r="AS277" s="6"/>
      <c r="AT277" s="3"/>
      <c r="AU277" s="3"/>
      <c r="AV277" s="3"/>
      <c r="AW277" s="3"/>
      <c r="BM277" s="3"/>
      <c r="BN277" s="3"/>
    </row>
    <row r="278" spans="1:66" s="4" customFormat="1" ht="43.15" customHeight="1" x14ac:dyDescent="0.25">
      <c r="A278" s="94" t="s">
        <v>422</v>
      </c>
      <c r="B278" s="16" t="s">
        <v>271</v>
      </c>
      <c r="C278" s="102" t="s">
        <v>423</v>
      </c>
      <c r="D278" s="59">
        <f>-60781.97-167772.58</f>
        <v>-228554.55</v>
      </c>
      <c r="E278" s="118">
        <v>-228554.55</v>
      </c>
      <c r="F278" s="110">
        <f t="shared" si="59"/>
        <v>1</v>
      </c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91"/>
      <c r="W278" s="3"/>
      <c r="X278" s="3"/>
      <c r="Y278" s="3"/>
      <c r="Z278" s="3"/>
      <c r="AC278" s="5"/>
      <c r="AD278" s="5"/>
      <c r="AE278" s="5"/>
      <c r="AF278" s="5"/>
      <c r="AG278" s="5"/>
      <c r="AH278" s="5"/>
      <c r="AI278" s="3"/>
      <c r="AJ278" s="3"/>
      <c r="AK278" s="3"/>
      <c r="AL278" s="3"/>
      <c r="AM278" s="3"/>
      <c r="AN278" s="3"/>
      <c r="AO278" s="3"/>
      <c r="AP278" s="3"/>
      <c r="AQ278" s="3"/>
      <c r="AR278" s="6"/>
      <c r="AS278" s="6"/>
      <c r="AT278" s="3"/>
      <c r="AU278" s="3"/>
      <c r="AV278" s="3"/>
      <c r="AW278" s="3"/>
      <c r="BM278" s="3"/>
      <c r="BN278" s="3"/>
    </row>
    <row r="279" spans="1:66" s="4" customFormat="1" ht="44.45" customHeight="1" x14ac:dyDescent="0.25">
      <c r="A279" s="87" t="s">
        <v>386</v>
      </c>
      <c r="B279" s="16" t="s">
        <v>256</v>
      </c>
      <c r="C279" s="88" t="s">
        <v>387</v>
      </c>
      <c r="D279" s="59">
        <f>-9938-9885.2-61859.3</f>
        <v>-81682.5</v>
      </c>
      <c r="E279" s="118">
        <v>-81682.5</v>
      </c>
      <c r="F279" s="110">
        <f t="shared" si="59"/>
        <v>1</v>
      </c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91"/>
      <c r="W279" s="3"/>
      <c r="X279" s="3"/>
      <c r="Y279" s="3"/>
      <c r="Z279" s="3"/>
      <c r="AC279" s="5"/>
      <c r="AD279" s="5"/>
      <c r="AE279" s="5"/>
      <c r="AF279" s="5"/>
      <c r="AG279" s="5"/>
      <c r="AH279" s="5"/>
      <c r="AI279" s="3"/>
      <c r="AJ279" s="3"/>
      <c r="AK279" s="3"/>
      <c r="AL279" s="3"/>
      <c r="AM279" s="3"/>
      <c r="AN279" s="3"/>
      <c r="AO279" s="3"/>
      <c r="AP279" s="3"/>
      <c r="AQ279" s="3"/>
      <c r="AR279" s="6"/>
      <c r="AS279" s="6"/>
      <c r="AT279" s="3"/>
      <c r="AU279" s="3"/>
      <c r="AV279" s="3"/>
      <c r="AW279" s="3"/>
      <c r="BM279" s="3"/>
      <c r="BN279" s="3"/>
    </row>
    <row r="280" spans="1:66" s="4" customFormat="1" ht="44.45" customHeight="1" x14ac:dyDescent="0.25">
      <c r="A280" s="87" t="s">
        <v>386</v>
      </c>
      <c r="B280" s="16" t="s">
        <v>212</v>
      </c>
      <c r="C280" s="88" t="s">
        <v>387</v>
      </c>
      <c r="D280" s="59">
        <f>-12293.07-5000-5000-63.63</f>
        <v>-22356.7</v>
      </c>
      <c r="E280" s="118">
        <v>-22473.040000000001</v>
      </c>
      <c r="F280" s="110">
        <f t="shared" si="59"/>
        <v>1.0052038091489353</v>
      </c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91"/>
      <c r="W280" s="3"/>
      <c r="X280" s="3"/>
      <c r="Y280" s="3"/>
      <c r="Z280" s="3"/>
      <c r="AC280" s="5"/>
      <c r="AD280" s="5"/>
      <c r="AE280" s="5"/>
      <c r="AF280" s="5"/>
      <c r="AG280" s="5"/>
      <c r="AH280" s="5"/>
      <c r="AI280" s="3"/>
      <c r="AJ280" s="3"/>
      <c r="AK280" s="3"/>
      <c r="AL280" s="3"/>
      <c r="AM280" s="3"/>
      <c r="AN280" s="3"/>
      <c r="AO280" s="3"/>
      <c r="AP280" s="3"/>
      <c r="AQ280" s="3"/>
      <c r="AR280" s="6"/>
      <c r="AS280" s="6"/>
      <c r="AT280" s="3"/>
      <c r="AU280" s="3"/>
      <c r="AV280" s="3"/>
      <c r="AW280" s="3"/>
      <c r="BM280" s="3"/>
      <c r="BN280" s="3"/>
    </row>
    <row r="281" spans="1:66" s="6" customFormat="1" ht="18" customHeight="1" x14ac:dyDescent="0.25">
      <c r="A281" s="57" t="s">
        <v>298</v>
      </c>
      <c r="B281" s="16"/>
      <c r="C281" s="17"/>
      <c r="D281" s="58">
        <f>+D8+D201</f>
        <v>4247680185.6899996</v>
      </c>
      <c r="E281" s="58">
        <f>+E8+E201</f>
        <v>834294146.42999995</v>
      </c>
      <c r="F281" s="110">
        <f t="shared" si="59"/>
        <v>0.19641171414944367</v>
      </c>
      <c r="V281" s="44"/>
      <c r="AC281" s="5"/>
      <c r="AD281" s="45"/>
      <c r="AE281" s="5"/>
      <c r="AF281" s="5"/>
      <c r="AG281" s="5"/>
      <c r="AH281" s="5"/>
    </row>
    <row r="282" spans="1:66" s="49" customFormat="1" x14ac:dyDescent="0.25">
      <c r="A282" s="104"/>
      <c r="B282" s="46"/>
      <c r="C282" s="47"/>
      <c r="D282" s="46"/>
      <c r="E282" s="46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I282" s="48"/>
      <c r="AJ282" s="48"/>
      <c r="AK282" s="48"/>
      <c r="AL282" s="48"/>
      <c r="AM282" s="48"/>
      <c r="AN282" s="48"/>
      <c r="AO282" s="48"/>
      <c r="AP282" s="48"/>
      <c r="AQ282" s="48"/>
      <c r="AR282" s="48"/>
      <c r="AS282" s="48"/>
      <c r="AT282" s="48"/>
      <c r="AU282" s="48"/>
      <c r="AV282" s="48"/>
      <c r="AW282" s="48"/>
      <c r="BM282" s="48"/>
      <c r="BN282" s="48"/>
    </row>
    <row r="283" spans="1:66" x14ac:dyDescent="0.25">
      <c r="B283" s="50"/>
      <c r="D283" s="64"/>
      <c r="E283" s="64"/>
    </row>
    <row r="284" spans="1:66" ht="18.75" x14ac:dyDescent="0.3">
      <c r="A284" s="106"/>
      <c r="B284" s="50"/>
      <c r="D284" s="128"/>
      <c r="E284" s="128"/>
      <c r="J284" s="129"/>
      <c r="K284" s="129"/>
    </row>
    <row r="285" spans="1:66" ht="25.15" customHeight="1" x14ac:dyDescent="0.3">
      <c r="A285" s="130" t="s">
        <v>436</v>
      </c>
      <c r="B285" s="130"/>
      <c r="C285" s="53"/>
      <c r="D285" s="131" t="s">
        <v>437</v>
      </c>
      <c r="E285" s="131"/>
      <c r="F285" s="131"/>
    </row>
    <row r="286" spans="1:66" ht="18.75" x14ac:dyDescent="0.3">
      <c r="A286" s="108"/>
      <c r="B286" s="90"/>
      <c r="C286" s="53"/>
      <c r="D286" s="54"/>
      <c r="E286" s="54"/>
    </row>
    <row r="287" spans="1:66" ht="18.75" x14ac:dyDescent="0.3">
      <c r="A287" s="107"/>
      <c r="B287" s="54"/>
      <c r="C287" s="55"/>
      <c r="D287" s="54"/>
      <c r="E287" s="54"/>
      <c r="J287" s="129"/>
      <c r="K287" s="129"/>
    </row>
    <row r="288" spans="1:66" ht="18.75" x14ac:dyDescent="0.3">
      <c r="A288" s="123"/>
      <c r="B288" s="123"/>
      <c r="C288" s="55"/>
      <c r="D288" s="132"/>
      <c r="E288" s="132"/>
      <c r="F288" s="132"/>
    </row>
  </sheetData>
  <mergeCells count="25">
    <mergeCell ref="L95:L100"/>
    <mergeCell ref="AM95:AM99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88:B288"/>
    <mergeCell ref="AR95:AR100"/>
    <mergeCell ref="AY248:BD248"/>
    <mergeCell ref="AZ249:BE249"/>
    <mergeCell ref="AY257:BD257"/>
    <mergeCell ref="D284:E284"/>
    <mergeCell ref="J284:K284"/>
    <mergeCell ref="A285:B285"/>
    <mergeCell ref="J287:K287"/>
    <mergeCell ref="D285:F285"/>
    <mergeCell ref="D288:F288"/>
    <mergeCell ref="T8:V8"/>
    <mergeCell ref="T10:V10"/>
    <mergeCell ref="AM19:AM27"/>
  </mergeCells>
  <pageMargins left="1.1811023622047245" right="0.39370078740157483" top="0.59055118110236227" bottom="0.78740157480314965" header="0" footer="0"/>
  <pageSetup paperSize="9" scale="63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2023(март)</vt:lpstr>
      <vt:lpstr>'Прил 1 на 2023(март)'!Заголовки_для_печати</vt:lpstr>
      <vt:lpstr>'Прил 1 на 2023(март)'!Область_печати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2023-04-21T03:23:24Z</dcterms:modified>
</cp:coreProperties>
</file>